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0" yWindow="0" windowWidth="11700" windowHeight="10770" tabRatio="933" activeTab="0"/>
  </bookViews>
  <sheets>
    <sheet name="TABLE of CONTENTS" sheetId="1" r:id="rId1"/>
    <sheet name="City Approved" sheetId="2" r:id="rId2"/>
    <sheet name="Revenue Modifications" sheetId="3" r:id="rId3"/>
    <sheet name="Summary of FY2017 November Plan" sheetId="4" r:id="rId4"/>
    <sheet name="Revenue Budget Update_1 of 3" sheetId="5" r:id="rId5"/>
    <sheet name="Revenue Budget Update_2 of 3" sheetId="6" r:id="rId6"/>
    <sheet name="Revenue Budget Update_3 of 3" sheetId="7" r:id="rId7"/>
    <sheet name="Claims_1 of 2" sheetId="8" r:id="rId8"/>
    <sheet name="Claims_2 of 2" sheetId="9" r:id="rId9"/>
    <sheet name="YTD Expenses PS &amp; OTPS by UA" sheetId="10" r:id="rId10"/>
    <sheet name="Exp#PS#cat" sheetId="11" r:id="rId11"/>
    <sheet name="Exp#OTPS#cat" sheetId="12" r:id="rId12"/>
    <sheet name="Current HC - Tax Levy &amp; Reimb." sheetId="13" r:id="rId13"/>
    <sheet name="Current HC - Tax Levy &amp; Central" sheetId="14" r:id="rId14"/>
    <sheet name="Current HC - Categorical Pgms." sheetId="15" r:id="rId15"/>
  </sheets>
  <definedNames>
    <definedName name="_xlnm.Print_Area" localSheetId="1">'City Approved'!$A$1:$I$55</definedName>
    <definedName name="_xlnm.Print_Area" localSheetId="7">'Claims_1 of 2'!$A$13:$G$50</definedName>
    <definedName name="_xlnm.Print_Area" localSheetId="8">'Claims_2 of 2'!$A$12:$G$46</definedName>
    <definedName name="_xlnm.Print_Area" localSheetId="14">'Current HC - Categorical Pgms.'!$A$1:$O$41</definedName>
    <definedName name="_xlnm.Print_Area" localSheetId="13">'Current HC - Tax Levy &amp; Central'!$A$1:$O$69</definedName>
    <definedName name="_xlnm.Print_Area" localSheetId="12">'Current HC - Tax Levy &amp; Reimb.'!$A$1:$O$64</definedName>
    <definedName name="_xlnm.Print_Area" localSheetId="11">'Exp#OTPS#cat'!$A$1:$F$61</definedName>
    <definedName name="_xlnm.Print_Area" localSheetId="10">'Exp#PS#cat'!$A$1:$G$45</definedName>
    <definedName name="_xlnm.Print_Area" localSheetId="4">'Revenue Budget Update_1 of 3'!$A$11:$F$49</definedName>
    <definedName name="_xlnm.Print_Area" localSheetId="5">'Revenue Budget Update_2 of 3'!$A$11:$F$54</definedName>
    <definedName name="_xlnm.Print_Area" localSheetId="6">'Revenue Budget Update_3 of 3'!$A$1:$F$46</definedName>
    <definedName name="_xlnm.Print_Area" localSheetId="2">'Revenue Modifications'!$A$1:$F$29</definedName>
    <definedName name="_xlnm.Print_Area" localSheetId="3">'Summary of FY2017 November Plan'!$A$1:$H$55</definedName>
    <definedName name="_xlnm.Print_Area" localSheetId="0">'TABLE of CONTENTS'!$A$1:$F$34</definedName>
    <definedName name="_xlnm.Print_Area" localSheetId="9">'YTD Expenses PS &amp; OTPS by UA'!$A$1:$H$87</definedName>
    <definedName name="_xlnm.Print_Titles" localSheetId="7">'Claims_1 of 2'!$1:$11</definedName>
    <definedName name="_xlnm.Print_Titles" localSheetId="8">'Claims_2 of 2'!$1:$11</definedName>
    <definedName name="_xlnm.Print_Titles" localSheetId="11">'Exp#OTPS#cat'!$1:$12</definedName>
    <definedName name="_xlnm.Print_Titles" localSheetId="10">'Exp#PS#cat'!$1:$6</definedName>
    <definedName name="_xlnm.Print_Titles" localSheetId="4">'Revenue Budget Update_1 of 3'!$1:$10</definedName>
    <definedName name="_xlnm.Print_Titles" localSheetId="5">'Revenue Budget Update_2 of 3'!$1:$11</definedName>
    <definedName name="_xlnm.Print_Titles" localSheetId="6">'Revenue Budget Update_3 of 3'!$1:$11</definedName>
    <definedName name="_xlnm.Print_Titles" localSheetId="9">'YTD Expenses PS &amp; OTPS by UA'!$1:$8</definedName>
  </definedNames>
  <calcPr fullCalcOnLoad="1"/>
</workbook>
</file>

<file path=xl/sharedStrings.xml><?xml version="1.0" encoding="utf-8"?>
<sst xmlns="http://schemas.openxmlformats.org/spreadsheetml/2006/main" count="972" uniqueCount="587">
  <si>
    <t>Current Approved Budget Condition</t>
  </si>
  <si>
    <t xml:space="preserve"> </t>
  </si>
  <si>
    <t>Adopted</t>
  </si>
  <si>
    <t>Approved</t>
  </si>
  <si>
    <t>Unit of Appropriation</t>
  </si>
  <si>
    <t>Budget</t>
  </si>
  <si>
    <t>Modifications</t>
  </si>
  <si>
    <t>Categorical Programs PS</t>
  </si>
  <si>
    <t>Categorical Programs OTPS</t>
  </si>
  <si>
    <t>G R A N D    T O T A L</t>
  </si>
  <si>
    <t>Plus:</t>
  </si>
  <si>
    <t>Other System-Wide Obligations</t>
  </si>
  <si>
    <t>($ thousands)</t>
  </si>
  <si>
    <t>Revenue</t>
  </si>
  <si>
    <t>Source</t>
  </si>
  <si>
    <t>Description</t>
  </si>
  <si>
    <t>Estimate</t>
  </si>
  <si>
    <t>STATE FUNDS</t>
  </si>
  <si>
    <t>General Support Aids</t>
  </si>
  <si>
    <t>TRANSPORTATION AID</t>
  </si>
  <si>
    <t>PRIVATE EXCESS COST AID</t>
  </si>
  <si>
    <t>CAREER EDUCATION</t>
  </si>
  <si>
    <t>COMPUTER ADMINISTRATION AID</t>
  </si>
  <si>
    <t xml:space="preserve">HIGH COST AID </t>
  </si>
  <si>
    <t>BUILDING AID - SCA</t>
  </si>
  <si>
    <t>BUILDING AID - LEASES</t>
  </si>
  <si>
    <t>Sub-Total - General Support Aids</t>
  </si>
  <si>
    <t>Restricted/Categorical Aids</t>
  </si>
  <si>
    <t xml:space="preserve">SCHOOL LUNCH </t>
  </si>
  <si>
    <t>SPECIAL GRANTS - MISCELLANEOUS</t>
  </si>
  <si>
    <t>TEXTBOOKS</t>
  </si>
  <si>
    <t>PRE-K HANDICAPPED</t>
  </si>
  <si>
    <t>COMPUTER HARDWARE AID</t>
  </si>
  <si>
    <t>LIBRARY MATERIALS AID</t>
  </si>
  <si>
    <t>CHAPTER 721 REIMBURSEMENT</t>
  </si>
  <si>
    <t>SUMMER HANDICAPPED AID</t>
  </si>
  <si>
    <t>SCHOOL BREAKFAST</t>
  </si>
  <si>
    <t>UNIVERSAL PRE-KINDERGARTEN</t>
  </si>
  <si>
    <t>29621</t>
  </si>
  <si>
    <t>Sub-Total - Restricted/Categorical Aids</t>
  </si>
  <si>
    <t>Total - State Funds</t>
  </si>
  <si>
    <t>FEDERAL FUNDS</t>
  </si>
  <si>
    <t>13901</t>
  </si>
  <si>
    <t>13902</t>
  </si>
  <si>
    <t>13905</t>
  </si>
  <si>
    <t>VOCATIONAL EDUCATION</t>
  </si>
  <si>
    <t>13907</t>
  </si>
  <si>
    <t>SCHOOL BREAKFAST PROGRAM</t>
  </si>
  <si>
    <t>ECIA TITLE I</t>
  </si>
  <si>
    <t>FEDERAL MISCELLANEOUS GRANTS</t>
  </si>
  <si>
    <t>13915</t>
  </si>
  <si>
    <t>IDEA - PROGRAMS FOR THE DISABLED</t>
  </si>
  <si>
    <t>13916</t>
  </si>
  <si>
    <t>SUMMER FEEDING PROGRAM</t>
  </si>
  <si>
    <t>13926</t>
  </si>
  <si>
    <t>13927</t>
  </si>
  <si>
    <t>EESA TITLE VII - MAGNET SCHOOLS</t>
  </si>
  <si>
    <t>NON-RESIDENT TUITION</t>
  </si>
  <si>
    <t>Revenue Budget</t>
  </si>
  <si>
    <t>COMPUTER SOFTWARE AID</t>
  </si>
  <si>
    <t>FEDERAL SCHOOL LUNCH</t>
  </si>
  <si>
    <t>13912</t>
  </si>
  <si>
    <t>13914</t>
  </si>
  <si>
    <t>13919</t>
  </si>
  <si>
    <t xml:space="preserve">INTRA - CITY </t>
  </si>
  <si>
    <t>00595</t>
  </si>
  <si>
    <t>00596</t>
  </si>
  <si>
    <t xml:space="preserve">MISCELLANEOUS FEES &amp; GRANTS </t>
  </si>
  <si>
    <t>00460</t>
  </si>
  <si>
    <t>EDUC. SERVICE FEES (School Lunch)</t>
  </si>
  <si>
    <t>00760</t>
  </si>
  <si>
    <t>RENTALS (Extended Use of School Buildings)</t>
  </si>
  <si>
    <t>00859</t>
  </si>
  <si>
    <t>SUNDRIES (UFT Fees Misc. Coll. Refunds)</t>
  </si>
  <si>
    <t>GRANT REFUNDS</t>
  </si>
  <si>
    <t>OTHER CATEGORICAL</t>
  </si>
  <si>
    <t>41900</t>
  </si>
  <si>
    <t>Total Revenue</t>
  </si>
  <si>
    <t>City Tax-Levy Funding</t>
  </si>
  <si>
    <t>Total Adjustments</t>
  </si>
  <si>
    <t>C U R R E N T    O P E R A T I N G    B U D G E T</t>
  </si>
  <si>
    <t>TEACHERS FOR TOMORROW</t>
  </si>
  <si>
    <t>Department of Education of the City of New York</t>
  </si>
  <si>
    <t>OTPS Budget Categories</t>
  </si>
  <si>
    <t>Percent</t>
  </si>
  <si>
    <t>Balance</t>
  </si>
  <si>
    <t>Year-to-Date</t>
  </si>
  <si>
    <t>Available</t>
  </si>
  <si>
    <t>100</t>
  </si>
  <si>
    <t>Supplies &amp; Materials - General</t>
  </si>
  <si>
    <t>109</t>
  </si>
  <si>
    <t>Fuel Oil</t>
  </si>
  <si>
    <t>110</t>
  </si>
  <si>
    <t>Food and Forage Supplies</t>
  </si>
  <si>
    <t>199</t>
  </si>
  <si>
    <t>Data Processing Supplies</t>
  </si>
  <si>
    <t>300</t>
  </si>
  <si>
    <t>Equipment</t>
  </si>
  <si>
    <t>337</t>
  </si>
  <si>
    <t>Text Books</t>
  </si>
  <si>
    <t>338</t>
  </si>
  <si>
    <t>Library Books</t>
  </si>
  <si>
    <t>400</t>
  </si>
  <si>
    <t>Non-Contractual Services</t>
  </si>
  <si>
    <t>402</t>
  </si>
  <si>
    <t>Telephone &amp; Other Communications</t>
  </si>
  <si>
    <t>414</t>
  </si>
  <si>
    <t>Rentals - Land, Building and Structures</t>
  </si>
  <si>
    <t>423</t>
  </si>
  <si>
    <t>Heat, Light and Power Services</t>
  </si>
  <si>
    <t>600</t>
  </si>
  <si>
    <t>Contractual Services - General</t>
  </si>
  <si>
    <t>602</t>
  </si>
  <si>
    <t>Telecommunication Maintenance - Contractual</t>
  </si>
  <si>
    <t>607</t>
  </si>
  <si>
    <t>Maintenance &amp; Repairs - Motor Vehicle - Contract.</t>
  </si>
  <si>
    <t>612</t>
  </si>
  <si>
    <t>Office Equipment Maintenance - Contractual</t>
  </si>
  <si>
    <t>613</t>
  </si>
  <si>
    <t>Data Processing Equip. - Maintenance &amp; Repair</t>
  </si>
  <si>
    <t>615</t>
  </si>
  <si>
    <t>Printing Contracts - Contractual</t>
  </si>
  <si>
    <t>619</t>
  </si>
  <si>
    <t>Security Services - Contractual</t>
  </si>
  <si>
    <t>622</t>
  </si>
  <si>
    <t>Temporary Services - Contractual</t>
  </si>
  <si>
    <t>624</t>
  </si>
  <si>
    <t>Cleaning Services - Contractual</t>
  </si>
  <si>
    <t>633</t>
  </si>
  <si>
    <t>Transportation Expenditures - Contractual</t>
  </si>
  <si>
    <t>668</t>
  </si>
  <si>
    <t>Transportation for Reimbursable Programs</t>
  </si>
  <si>
    <t>669</t>
  </si>
  <si>
    <t>Transportation of Pupils - Contractual</t>
  </si>
  <si>
    <t>670</t>
  </si>
  <si>
    <t>Payments to Contract Schools (Handicapped Svc)</t>
  </si>
  <si>
    <t>671</t>
  </si>
  <si>
    <t>Training Programs for City Employees - Contract.</t>
  </si>
  <si>
    <t>676</t>
  </si>
  <si>
    <t>Maintenance &amp; Repair - Infrastructure - Contractual</t>
  </si>
  <si>
    <t>681</t>
  </si>
  <si>
    <t>Accounting, Auditing, and Actuarial Svcs. - Cont.</t>
  </si>
  <si>
    <t>682</t>
  </si>
  <si>
    <t>Legal Services - Contractual</t>
  </si>
  <si>
    <t>683</t>
  </si>
  <si>
    <t>Engineering &amp; Architectural Services - Contractual</t>
  </si>
  <si>
    <t>684</t>
  </si>
  <si>
    <t>Data Processing Consultant Services</t>
  </si>
  <si>
    <t>685</t>
  </si>
  <si>
    <t>Professional Svcs. - Direct Educ. Svcs. to Students</t>
  </si>
  <si>
    <t>686</t>
  </si>
  <si>
    <t>Professional Svcs. - Other - Contractual</t>
  </si>
  <si>
    <t>689</t>
  </si>
  <si>
    <t>Professional Svcs. - Curricul. &amp; Profess. Develop.</t>
  </si>
  <si>
    <t>695</t>
  </si>
  <si>
    <t>Educ. &amp; Recreational Exp. - Youth Prog. - Contract.</t>
  </si>
  <si>
    <t>700</t>
  </si>
  <si>
    <t>Fixed Charges - General</t>
  </si>
  <si>
    <t>704</t>
  </si>
  <si>
    <t>Payments to Surety Bonds and Insurance</t>
  </si>
  <si>
    <t>718</t>
  </si>
  <si>
    <t>Payments for Special Schooling - Handicapped</t>
  </si>
  <si>
    <t>719</t>
  </si>
  <si>
    <t>Judgements &amp; Claims - Other</t>
  </si>
  <si>
    <t>730</t>
  </si>
  <si>
    <t>Tuition Payments for Out-of-City Foster Care</t>
  </si>
  <si>
    <t>731</t>
  </si>
  <si>
    <t>Health Service Charge - Out-of-City Foster Care</t>
  </si>
  <si>
    <t>772</t>
  </si>
  <si>
    <t>NYC Transit Authority  - Reduced Fares (Students)</t>
  </si>
  <si>
    <t>773</t>
  </si>
  <si>
    <t>Private Bus Comp. - Reduced Fares (Students)</t>
  </si>
  <si>
    <t>791</t>
  </si>
  <si>
    <t>Tuition Payments to Other School Districts</t>
  </si>
  <si>
    <t>793</t>
  </si>
  <si>
    <t>Payments to Fashion Institute of Technology</t>
  </si>
  <si>
    <t>794</t>
  </si>
  <si>
    <t>Training Program for City Employees</t>
  </si>
  <si>
    <t>TOTAL OTHER THAN PERSONAL SERVICE</t>
  </si>
  <si>
    <t>TOTAL FUNDS COMMITTED TO DEPARTMENT OF EDUCATION</t>
  </si>
  <si>
    <t xml:space="preserve"> New York City Department of Education</t>
  </si>
  <si>
    <t>Last</t>
  </si>
  <si>
    <t>Positions</t>
  </si>
  <si>
    <t>Payroll</t>
  </si>
  <si>
    <t>Year-to-Date Expenditures: Personal Service by Category</t>
  </si>
  <si>
    <t>Personal Service Budget Categories</t>
  </si>
  <si>
    <t>Filled</t>
  </si>
  <si>
    <t>001</t>
  </si>
  <si>
    <t>Non-Pedagogic Personal Service</t>
  </si>
  <si>
    <t>005</t>
  </si>
  <si>
    <t>Pedagogic Personal Service</t>
  </si>
  <si>
    <t>021</t>
  </si>
  <si>
    <t>Part Time Positions in Headcount</t>
  </si>
  <si>
    <t>031</t>
  </si>
  <si>
    <t xml:space="preserve">Hourly Personal Service in FTEs </t>
  </si>
  <si>
    <t>035</t>
  </si>
  <si>
    <t xml:space="preserve">Custodial  </t>
  </si>
  <si>
    <t>040</t>
  </si>
  <si>
    <t>Educational Differential</t>
  </si>
  <si>
    <t>041</t>
  </si>
  <si>
    <t>Assignment Differential</t>
  </si>
  <si>
    <t>042</t>
  </si>
  <si>
    <t>Longevity Differential-pensionable</t>
  </si>
  <si>
    <t>043</t>
  </si>
  <si>
    <t>Shift Differential</t>
  </si>
  <si>
    <t>046</t>
  </si>
  <si>
    <t>Terminal Leave</t>
  </si>
  <si>
    <t>047</t>
  </si>
  <si>
    <t>Overtime</t>
  </si>
  <si>
    <t>049</t>
  </si>
  <si>
    <t>Back Pay - prior years</t>
  </si>
  <si>
    <t>050</t>
  </si>
  <si>
    <t>Payments - Beneficiaries Deceased Staff</t>
  </si>
  <si>
    <t>053</t>
  </si>
  <si>
    <t>To be Scheduled - Lump Sums</t>
  </si>
  <si>
    <t>054</t>
  </si>
  <si>
    <t>Salary Review Adjustments</t>
  </si>
  <si>
    <t>057</t>
  </si>
  <si>
    <t>058</t>
  </si>
  <si>
    <t>Prep Period Coverage</t>
  </si>
  <si>
    <t>060</t>
  </si>
  <si>
    <t>061</t>
  </si>
  <si>
    <t>Supper Money</t>
  </si>
  <si>
    <t>062</t>
  </si>
  <si>
    <t>Health Insurance</t>
  </si>
  <si>
    <t>063</t>
  </si>
  <si>
    <t>Disability Benefits Insurance</t>
  </si>
  <si>
    <t>064</t>
  </si>
  <si>
    <t>Uniform Allowance</t>
  </si>
  <si>
    <t>065</t>
  </si>
  <si>
    <t>Social Security</t>
  </si>
  <si>
    <t>066</t>
  </si>
  <si>
    <t>Unemployment Insurance</t>
  </si>
  <si>
    <t>067</t>
  </si>
  <si>
    <t>Welfare Benefits</t>
  </si>
  <si>
    <t>081</t>
  </si>
  <si>
    <t>Annuity for Pedagogues at Maximum</t>
  </si>
  <si>
    <t>085</t>
  </si>
  <si>
    <t>Workers' Compensation</t>
  </si>
  <si>
    <t>091</t>
  </si>
  <si>
    <t>095</t>
  </si>
  <si>
    <t>TOTAL PERSONAL SERVICE</t>
  </si>
  <si>
    <t>451</t>
  </si>
  <si>
    <t>Local Travel Expenditures - General</t>
  </si>
  <si>
    <t xml:space="preserve"> Department of Education of the City of New York</t>
  </si>
  <si>
    <t xml:space="preserve">Pending </t>
  </si>
  <si>
    <t>COMMUNITY LEARNING CENTERS</t>
  </si>
  <si>
    <t>13941</t>
  </si>
  <si>
    <t>SCA CONSTRUCTION</t>
  </si>
  <si>
    <t xml:space="preserve">Approved </t>
  </si>
  <si>
    <t xml:space="preserve"> Modifications</t>
  </si>
  <si>
    <t>EESA TITLE II - PROFESSIONAL DEVELOPMENT</t>
  </si>
  <si>
    <t>Grand Total</t>
  </si>
  <si>
    <t xml:space="preserve">Sub-Total - Federal Funds </t>
  </si>
  <si>
    <t>Sub-Total -  Other Categorical</t>
  </si>
  <si>
    <t>Sub-Total -  Miscellaneous Fees &amp; Grants</t>
  </si>
  <si>
    <t>Sub-Total - Intra-City</t>
  </si>
  <si>
    <t>ADJUSTMENTS:</t>
  </si>
  <si>
    <t xml:space="preserve">Per Session </t>
  </si>
  <si>
    <t>TITLE lll-LEP &amp; IMMIGRATION STUDENTS</t>
  </si>
  <si>
    <t>FEDERAL DRUG ABUSE FUNDS</t>
  </si>
  <si>
    <t>PRIVATE GRANTS</t>
  </si>
  <si>
    <t>Full-time</t>
  </si>
  <si>
    <t>Citywide Special Ed Instruction &amp; School Leadership - PS</t>
  </si>
  <si>
    <t>Special Ed Instruction &amp; School Leadership PS</t>
  </si>
  <si>
    <t>Special Ed Instruction &amp; School Leadership OTPS</t>
  </si>
  <si>
    <t>General Ed Instruction &amp; School Leadership PS</t>
  </si>
  <si>
    <t>General Ed Instruction &amp; School Leadership OTPS</t>
  </si>
  <si>
    <t>Citywide Special Ed Instruction &amp; School Leadership - OTPS</t>
  </si>
  <si>
    <t>Special Ed Instructional Support - PS</t>
  </si>
  <si>
    <t>Special Ed Instructional Support - OTPS</t>
  </si>
  <si>
    <t>School Facilities - PS</t>
  </si>
  <si>
    <t>School Facilities - OTPS</t>
  </si>
  <si>
    <t>Pupil Transportation - OTPS</t>
  </si>
  <si>
    <t>School Food Services - PS</t>
  </si>
  <si>
    <t>School Food Services - OTPS</t>
  </si>
  <si>
    <t>School Safety -  OTPS</t>
  </si>
  <si>
    <t>Energy &amp; Leases - OTPS</t>
  </si>
  <si>
    <t>Central Administration - OTPS</t>
  </si>
  <si>
    <t>Central Administration - PS</t>
  </si>
  <si>
    <t>Fringe Benefits - PS</t>
  </si>
  <si>
    <t>Non-Public School and FIT Payments - OTPS</t>
  </si>
  <si>
    <t>Special Education Pre-K Contract Payments - OTPS</t>
  </si>
  <si>
    <t>INTRA - CITY RENTALS (DOT - Safety City Program)</t>
  </si>
  <si>
    <t>SUPPLEMENTAL WELFARE BENEFITS</t>
  </si>
  <si>
    <t xml:space="preserve"> Department of Education of the City of New York </t>
  </si>
  <si>
    <t>Revenue Budget: Summary of Claims Submitted</t>
  </si>
  <si>
    <t>Claims</t>
  </si>
  <si>
    <t xml:space="preserve">Cash </t>
  </si>
  <si>
    <t>Percentage</t>
  </si>
  <si>
    <t>Submitted</t>
  </si>
  <si>
    <t>Applied</t>
  </si>
  <si>
    <t>Claimed</t>
  </si>
  <si>
    <t>BUILDING AID - BOE</t>
  </si>
  <si>
    <t>RETIREMENT SYSTEM (BERS)</t>
  </si>
  <si>
    <t>RETIREMENT BENEFITS (BERS)</t>
  </si>
  <si>
    <t>City</t>
  </si>
  <si>
    <t>OTPS</t>
  </si>
  <si>
    <t>Current City</t>
  </si>
  <si>
    <t>INTRA - CITY RENTALS (DCAS - School Rental)</t>
  </si>
  <si>
    <t>EMPLOYMENT PREPARATION for EDUCATION (EPE)</t>
  </si>
  <si>
    <t>PRE-K HANDICAPPED ADMINISTRATION</t>
  </si>
  <si>
    <t>INSTALLATION IMPACT AID</t>
  </si>
  <si>
    <t>EDUCATION FOR HOMELESS CHILDREN &amp; YOUTH</t>
  </si>
  <si>
    <t>OFF-SCHOOL TIME MEALS</t>
  </si>
  <si>
    <t xml:space="preserve">Revenue </t>
  </si>
  <si>
    <t>Condition</t>
  </si>
  <si>
    <t>Commitments</t>
  </si>
  <si>
    <t>Year-to-Date Commitments: OTPS by Category</t>
  </si>
  <si>
    <t>Committed</t>
  </si>
  <si>
    <t>FOUNDATION AID</t>
  </si>
  <si>
    <t>EDUCATION GRANTS</t>
  </si>
  <si>
    <t>STOP DWI</t>
  </si>
  <si>
    <t>TABLE OF CONTENTS</t>
  </si>
  <si>
    <t>Page</t>
  </si>
  <si>
    <t>CURRENT APPROVED BUDGET</t>
  </si>
  <si>
    <t>REVENUE BUDGET:</t>
  </si>
  <si>
    <t>055</t>
  </si>
  <si>
    <t>*</t>
  </si>
  <si>
    <t>General Ed Instruction &amp; School Leadership - PS</t>
  </si>
  <si>
    <t>General Ed Instruction &amp; School Leadership - OTPS</t>
  </si>
  <si>
    <t>Special Ed Instruction &amp; School Leadership - PS</t>
  </si>
  <si>
    <t>Special Ed Instruction &amp; School Leadership - OTPS</t>
  </si>
  <si>
    <t>School Support Organization - PS</t>
  </si>
  <si>
    <t>School Support Organization - OTPS</t>
  </si>
  <si>
    <t>Year-to-Date Commitments</t>
  </si>
  <si>
    <t>Personal Service &amp; Other Than Personal Service by Unit of Appropriation</t>
  </si>
  <si>
    <t xml:space="preserve">Percent </t>
  </si>
  <si>
    <t>Expended</t>
  </si>
  <si>
    <t>School Safety  - OTPS</t>
  </si>
  <si>
    <t>Positions awaiting fund transfer</t>
  </si>
  <si>
    <t>Categorical Programs - PS</t>
  </si>
  <si>
    <t>Subtotal Reimbursable Programs</t>
  </si>
  <si>
    <t>Summary</t>
  </si>
  <si>
    <t>Personal Services</t>
  </si>
  <si>
    <t>Interest on Deferred Wages/Late Wage Adj.</t>
  </si>
  <si>
    <t>AID FOR ACADEMIC ACHIEVEMENT</t>
  </si>
  <si>
    <t>TITLE I COMPETITIVE</t>
  </si>
  <si>
    <t>Total</t>
  </si>
  <si>
    <t>Lump Sum Payment</t>
  </si>
  <si>
    <t>Notes:</t>
  </si>
  <si>
    <t>RECONCILIATIONS:</t>
  </si>
  <si>
    <r>
      <t>Reconciliation:</t>
    </r>
    <r>
      <rPr>
        <sz val="14"/>
        <rFont val="Humanst521 BT"/>
        <family val="2"/>
      </rPr>
      <t xml:space="preserve"> </t>
    </r>
    <r>
      <rPr>
        <i/>
        <sz val="13"/>
        <rFont val="Humanst521 BT"/>
        <family val="2"/>
      </rPr>
      <t>Increased Expense Budget due to Revenue Modifications</t>
    </r>
  </si>
  <si>
    <t>Approved Modifications</t>
  </si>
  <si>
    <t>Mod</t>
  </si>
  <si>
    <t>Date</t>
  </si>
  <si>
    <t>Revenue Source</t>
  </si>
  <si>
    <t>Amount</t>
  </si>
  <si>
    <t xml:space="preserve">#  </t>
  </si>
  <si>
    <t>TOTAL Approved Revenue Mods</t>
  </si>
  <si>
    <t xml:space="preserve">City  </t>
  </si>
  <si>
    <r>
      <t xml:space="preserve">► </t>
    </r>
    <r>
      <rPr>
        <sz val="11"/>
        <color indexed="8"/>
        <rFont val="Comic Sans MS"/>
        <family val="4"/>
      </rPr>
      <t>Revenue Modifications</t>
    </r>
  </si>
  <si>
    <r>
      <t xml:space="preserve">► </t>
    </r>
    <r>
      <rPr>
        <sz val="11"/>
        <color indexed="8"/>
        <rFont val="Comic Sans MS"/>
        <family val="4"/>
      </rPr>
      <t>Revenue Budget Update</t>
    </r>
  </si>
  <si>
    <r>
      <t xml:space="preserve">► </t>
    </r>
    <r>
      <rPr>
        <sz val="11"/>
        <color indexed="8"/>
        <rFont val="Comic Sans MS"/>
        <family val="4"/>
      </rPr>
      <t>Summary of Claims</t>
    </r>
  </si>
  <si>
    <r>
      <t xml:space="preserve"> </t>
    </r>
    <r>
      <rPr>
        <sz val="11"/>
        <color indexed="8"/>
        <rFont val="Comic Sans MS"/>
        <family val="4"/>
      </rPr>
      <t>► Personal Service &amp; Other Than Personal Service by Unit of Appropriation</t>
    </r>
  </si>
  <si>
    <r>
      <t xml:space="preserve"> </t>
    </r>
    <r>
      <rPr>
        <sz val="11"/>
        <color indexed="8"/>
        <rFont val="Comic Sans MS"/>
        <family val="4"/>
      </rPr>
      <t>► Personal Service by Category</t>
    </r>
  </si>
  <si>
    <r>
      <t xml:space="preserve"> </t>
    </r>
    <r>
      <rPr>
        <sz val="11"/>
        <color indexed="8"/>
        <rFont val="Comic Sans MS"/>
        <family val="4"/>
      </rPr>
      <t>► Other Than Personal Service by Category</t>
    </r>
  </si>
  <si>
    <t>Current</t>
  </si>
  <si>
    <r>
      <t xml:space="preserve">on Payroll </t>
    </r>
    <r>
      <rPr>
        <sz val="10"/>
        <rFont val="Verdana"/>
        <family val="2"/>
      </rPr>
      <t xml:space="preserve"> *</t>
    </r>
  </si>
  <si>
    <t>11919</t>
  </si>
  <si>
    <t>MEDICAID - HEALTH &amp; MEDICAL CARE</t>
  </si>
  <si>
    <t xml:space="preserve">Current </t>
  </si>
  <si>
    <t xml:space="preserve">  - CD Violation Removal</t>
  </si>
  <si>
    <t xml:space="preserve">  - Miscellaneous Fees &amp; Grants - included in City Tax-Levy Funding</t>
  </si>
  <si>
    <t xml:space="preserve">  - State Building Aid - not included in operating budget</t>
  </si>
  <si>
    <t>Salary Adjustments Labor Reserve</t>
  </si>
  <si>
    <t>BLIND AND DEAF STUDENTS</t>
  </si>
  <si>
    <t>OTHER SERVICES/FEES (DYCD - Beacon Program)</t>
  </si>
  <si>
    <t>OTHER SERVICES/FEES (DOHMH - School Health)</t>
  </si>
  <si>
    <t>OTHER SERVICES/FEES (DOHMH - Physical Fitness)</t>
  </si>
  <si>
    <t>TEACHER CENTERS / MENTOR TEACHER</t>
  </si>
  <si>
    <t>TITLE I - COMPETITIVE</t>
  </si>
  <si>
    <t>Payroll Refunds</t>
  </si>
  <si>
    <t>Charter Schools - OTPS</t>
  </si>
  <si>
    <t>Contract &amp; Foster Care Payments - OTPS</t>
  </si>
  <si>
    <t>OTHER SERVICES/FEES (DOHMH - Obesity Programs)</t>
  </si>
  <si>
    <t>ARRA: ARTS ACHIEVE</t>
  </si>
  <si>
    <t>CHARTER SCHOOLS</t>
  </si>
  <si>
    <t xml:space="preserve">UNIVERSAL PRE-KINDERGARTEN </t>
  </si>
  <si>
    <t>OTHER SERVICES/FEES (DEP - Water Conservation)</t>
  </si>
  <si>
    <t>OTHER SERVICES/FEES (DOITT - Digital Media Capacity Building)</t>
  </si>
  <si>
    <t>Intra-City:</t>
  </si>
  <si>
    <t>OTHER SERVICES/FEES (DOHMH - Agency Nurse Tracking System)</t>
  </si>
  <si>
    <t>OTHER SERVICES/FEES (Board of Elections - Poll Site Improvements)</t>
  </si>
  <si>
    <t>OTHER SERVICES/FEES (DCAS - PlaNYC Energy and Outreach)</t>
  </si>
  <si>
    <t>OTHER SERVICES/FEES (Sanitation - Golden Apple Awards)</t>
  </si>
  <si>
    <t>OTHER SERVICES/FEES (Sanitation - Recycling Champions)</t>
  </si>
  <si>
    <t>YEAR-TO-DATE COMMITMENTS:</t>
  </si>
  <si>
    <t>UNIVERSAL PRE-KINDERGARTEN EXPANSION &amp; COMPETITIVE GRANT</t>
  </si>
  <si>
    <t>FY2016</t>
  </si>
  <si>
    <t>FY 2016</t>
  </si>
  <si>
    <t>Universal Pre-K - PS</t>
  </si>
  <si>
    <t>Universal Pre-K - OTPS</t>
  </si>
  <si>
    <t>OTHER SERVICES/FEES (DYCD - SONYC)</t>
  </si>
  <si>
    <t>INTRA - CITY RENTALS (NYPD - Rental)</t>
  </si>
  <si>
    <t>PRESCHOOL DEVELOPMENT GRANTS</t>
  </si>
  <si>
    <t>Adopted Budget</t>
  </si>
  <si>
    <t>DECEMBER 2015 FSR</t>
  </si>
  <si>
    <t>CURRENT HEADCOUNT CONDITION:</t>
  </si>
  <si>
    <t>► Tax-Levy &amp; Reimbursable</t>
  </si>
  <si>
    <t>► Tax-Levy Central Offices</t>
  </si>
  <si>
    <t>► Categorical Programs</t>
  </si>
  <si>
    <t>SUMMARY OF FY2017 NOVEMBER PLAN</t>
  </si>
  <si>
    <t>as of 11/3/15</t>
  </si>
  <si>
    <t>FMS Budget</t>
  </si>
  <si>
    <t>9/18/15 -  11/3/15</t>
  </si>
  <si>
    <t>Pension (as per the November Financial Plan)</t>
  </si>
  <si>
    <t>Debt Service (as per the November Financial Plan)</t>
  </si>
  <si>
    <t>16DOE01</t>
  </si>
  <si>
    <t>IC16A0000000107</t>
  </si>
  <si>
    <t>16T078B</t>
  </si>
  <si>
    <t>6044DOE-FP</t>
  </si>
  <si>
    <t>DOITT - Digital Media Capacity Building Schools Program</t>
  </si>
  <si>
    <t>DSNY - Golden Apple Awards</t>
  </si>
  <si>
    <t>DFTA - Fingerprinting Fees</t>
  </si>
  <si>
    <t>DEP - Water Conservation Program</t>
  </si>
  <si>
    <t>($ in Thousands)</t>
  </si>
  <si>
    <t>FY2017</t>
  </si>
  <si>
    <t>FY2018</t>
  </si>
  <si>
    <t>CITY</t>
  </si>
  <si>
    <t>STATE</t>
  </si>
  <si>
    <t>ADP</t>
  </si>
  <si>
    <t>FEDERAL</t>
  </si>
  <si>
    <t>PLAN</t>
  </si>
  <si>
    <t>INTRA-CITY</t>
  </si>
  <si>
    <t>TOTAL FUNDS</t>
  </si>
  <si>
    <t>Funding</t>
  </si>
  <si>
    <t>Subtotal</t>
  </si>
  <si>
    <t>FY16</t>
  </si>
  <si>
    <t>NOV</t>
  </si>
  <si>
    <t>CHNG</t>
  </si>
  <si>
    <t>OTH CAT</t>
  </si>
  <si>
    <t>FY2019</t>
  </si>
  <si>
    <t>FY17</t>
  </si>
  <si>
    <t xml:space="preserve">September </t>
  </si>
  <si>
    <r>
      <t xml:space="preserve">  - City Funding  - </t>
    </r>
    <r>
      <rPr>
        <i/>
        <sz val="8"/>
        <rFont val="Humanst521 BT"/>
        <family val="0"/>
      </rPr>
      <t>not included in operating budget</t>
    </r>
  </si>
  <si>
    <t>November FY2017 Plan Changes:</t>
  </si>
  <si>
    <t xml:space="preserve">    Total November FY2017 Plan Changes</t>
  </si>
  <si>
    <t>DCAS - PlaNYC Energy and Outreach Program</t>
  </si>
  <si>
    <t>IC16RMR072 &amp; IC16RMR099</t>
  </si>
  <si>
    <t>OTHER SERVICES/FEES (DFTA - Fingerprinting Fees)</t>
  </si>
  <si>
    <r>
      <t>Current Headcount Summary: Tax-Levy and Reimbursable</t>
    </r>
    <r>
      <rPr>
        <sz val="18"/>
        <rFont val="Arial"/>
        <family val="2"/>
      </rPr>
      <t xml:space="preserve"> </t>
    </r>
  </si>
  <si>
    <t xml:space="preserve">Full-Time Actuals </t>
  </si>
  <si>
    <r>
      <t xml:space="preserve">  Part-Time Actuals</t>
    </r>
    <r>
      <rPr>
        <b/>
        <sz val="10"/>
        <rFont val="Verdana"/>
        <family val="2"/>
      </rPr>
      <t xml:space="preserve"> ** </t>
    </r>
  </si>
  <si>
    <t>Ed</t>
  </si>
  <si>
    <t xml:space="preserve">Per </t>
  </si>
  <si>
    <t>Custod.</t>
  </si>
  <si>
    <t>FTE</t>
  </si>
  <si>
    <t>Grand</t>
  </si>
  <si>
    <t>Para</t>
  </si>
  <si>
    <t>Non-</t>
  </si>
  <si>
    <t>Diem</t>
  </si>
  <si>
    <t>Hourly</t>
  </si>
  <si>
    <t>PEDs</t>
  </si>
  <si>
    <t>TOTAL</t>
  </si>
  <si>
    <t>Admin.</t>
  </si>
  <si>
    <t>FT / FTEs</t>
  </si>
  <si>
    <t xml:space="preserve">General Ed Instruction &amp; School Leadership </t>
  </si>
  <si>
    <t xml:space="preserve">  Reimbursable</t>
  </si>
  <si>
    <t xml:space="preserve">Special Ed Instruction &amp; School Leadership </t>
  </si>
  <si>
    <t xml:space="preserve">School Support Organization </t>
  </si>
  <si>
    <t xml:space="preserve">Citywide Special Ed Instr.  &amp; School Leadership </t>
  </si>
  <si>
    <t xml:space="preserve">Special Ed Instructional Support </t>
  </si>
  <si>
    <t xml:space="preserve">School Facilities </t>
  </si>
  <si>
    <t xml:space="preserve">School Food Services </t>
  </si>
  <si>
    <t xml:space="preserve">Central Administration </t>
  </si>
  <si>
    <t>Tax-Levy Adjustments (see funding of positions note)</t>
  </si>
  <si>
    <t>Subtotal Tax-Levy Positions</t>
  </si>
  <si>
    <t>Subtotal Reimbursable</t>
  </si>
  <si>
    <t>Reimbursable</t>
  </si>
  <si>
    <t>Reimbursable Adjustments (see funding of positions note)</t>
  </si>
  <si>
    <t>Sources:</t>
  </si>
  <si>
    <t>Full-time actual distribution by budget code and Financial Management Center are generated by FMS (FG-25 Report).</t>
  </si>
  <si>
    <t>All part-time actuals and custodial headcount are provided by the DOE.</t>
  </si>
  <si>
    <t>1.</t>
  </si>
  <si>
    <t>Per-diem pedagogues include teachers, social workers, and school secretaries who work no more than 20 hrs a week</t>
  </si>
  <si>
    <t>or 3 out of 5 days a week.</t>
  </si>
  <si>
    <t>2.</t>
  </si>
  <si>
    <t xml:space="preserve">Part-time non-peds (o/c 031 &amp; o/c 021 positions) include hourly school aides, guards, food service and administrative </t>
  </si>
  <si>
    <t>employees converted into "Full-Time Equivalents" (FTEs).</t>
  </si>
  <si>
    <t>3.</t>
  </si>
  <si>
    <t>Basis for FTE calculations include:   hourly school aides -- 70 hrs per pay period;  hourly guards -- 80 hrs per pay</t>
  </si>
  <si>
    <t>period;  per-diem peds -- actual hrs per pay period and hourly administration positions -- 70 hrs per pay period.</t>
  </si>
  <si>
    <t>Funding of Positions:</t>
  </si>
  <si>
    <t xml:space="preserve">Each fiscal year between 16 and 20 percent of DOE positions are funded with reimbursable funds.  By the close of a fiscal year, </t>
  </si>
  <si>
    <t>the headcount for most of these reimbursable positions appears in U/A 481.  During the year, however, many reimbursable</t>
  </si>
  <si>
    <t>positions may be reflected in tax-levy units of appropriation for a period of time and then transferred.  The current</t>
  </si>
  <si>
    <r>
      <t>Current Headcount: Tax-Levy Central Offices</t>
    </r>
    <r>
      <rPr>
        <sz val="18"/>
        <rFont val="Humanst521 BT"/>
        <family val="0"/>
      </rPr>
      <t xml:space="preserve"> </t>
    </r>
  </si>
  <si>
    <r>
      <t>Full-Time Actuals</t>
    </r>
    <r>
      <rPr>
        <b/>
        <i/>
        <sz val="9"/>
        <rFont val="Arial"/>
        <family val="2"/>
      </rPr>
      <t xml:space="preserve"> </t>
    </r>
  </si>
  <si>
    <r>
      <t>Part-Time Actuals</t>
    </r>
    <r>
      <rPr>
        <sz val="9"/>
        <rFont val="Arial"/>
        <family val="2"/>
      </rPr>
      <t xml:space="preserve"> </t>
    </r>
  </si>
  <si>
    <t>Ed Para</t>
  </si>
  <si>
    <t>U/A</t>
  </si>
  <si>
    <t>FMC</t>
  </si>
  <si>
    <t>Office of the Chancellor</t>
  </si>
  <si>
    <t>Office of Student Enrollment Planning &amp; Operations</t>
  </si>
  <si>
    <t>Office of the Deputy Chancellor for Operations</t>
  </si>
  <si>
    <t>38</t>
  </si>
  <si>
    <t xml:space="preserve">Office of Strategic Initiatives </t>
  </si>
  <si>
    <t>Division of Budget Operations &amp; Review</t>
  </si>
  <si>
    <t>Division of Academics, Performance, and Support</t>
  </si>
  <si>
    <t>Office of Communications and Public Affairs</t>
  </si>
  <si>
    <t>Office of English Language Learners</t>
  </si>
  <si>
    <t>Division of Human Resources</t>
  </si>
  <si>
    <t>Office of Capital &amp; Grants Finance</t>
  </si>
  <si>
    <t>48</t>
  </si>
  <si>
    <t>Deputy Chancellor for Teaching &amp; Learning</t>
  </si>
  <si>
    <t>Division of Information &amp; Instructional Technology</t>
  </si>
  <si>
    <t>Special Education Initiatives</t>
  </si>
  <si>
    <t>Central Pass-through</t>
  </si>
  <si>
    <t>Division of School Facilities</t>
  </si>
  <si>
    <t>Office of Strategic Partnerships</t>
  </si>
  <si>
    <t>Division of Financial Operations</t>
  </si>
  <si>
    <t>56</t>
  </si>
  <si>
    <t>Division of Portfolio Planning</t>
  </si>
  <si>
    <t>Office of School Food and Nutrition Services</t>
  </si>
  <si>
    <t>59</t>
  </si>
  <si>
    <t>Office of Strategic Coordination and Planning</t>
  </si>
  <si>
    <t>Office of Safety and Youth Development</t>
  </si>
  <si>
    <t>Office of Pupil Transportation</t>
  </si>
  <si>
    <t>Office of the Auditor General</t>
  </si>
  <si>
    <t>Non-Public School Reimbursable Services</t>
  </si>
  <si>
    <t>General Counsel &amp; Legal Services</t>
  </si>
  <si>
    <t>Office of School Health</t>
  </si>
  <si>
    <t>Family Engagement and Advocacy</t>
  </si>
  <si>
    <t>Division of Contracts &amp; Purchasing</t>
  </si>
  <si>
    <t>PSAL</t>
  </si>
  <si>
    <t>Office of Human Capital and Innovation</t>
  </si>
  <si>
    <t xml:space="preserve">Division of Finance </t>
  </si>
  <si>
    <t>93</t>
  </si>
  <si>
    <t>DSS Central</t>
  </si>
  <si>
    <t>98</t>
  </si>
  <si>
    <t>Division of Financial Systems &amp; Business Operations</t>
  </si>
  <si>
    <t>99</t>
  </si>
  <si>
    <t>Division of School Budget Planning &amp; Operations</t>
  </si>
  <si>
    <t xml:space="preserve">Current Headcount: Categorical Programs </t>
  </si>
  <si>
    <t xml:space="preserve">Part-Time Actuals </t>
  </si>
  <si>
    <t>Total Filled</t>
  </si>
  <si>
    <t>Code</t>
  </si>
  <si>
    <t>Categorical Programs</t>
  </si>
  <si>
    <t>Pedagogic</t>
  </si>
  <si>
    <t>Ed.</t>
  </si>
  <si>
    <t>Non-Ped</t>
  </si>
  <si>
    <t>Full-Time</t>
  </si>
  <si>
    <t>Paras</t>
  </si>
  <si>
    <t>8816</t>
  </si>
  <si>
    <t>Regional &amp; CW Instr. &amp; Operational Admin.</t>
  </si>
  <si>
    <t>Reim. Supp. - Gen. Ed. Inst./Elem./Middle/HS</t>
  </si>
  <si>
    <t>Reim. Supp. - Spec. Ed. Inst./Elem./Middle/HS</t>
  </si>
  <si>
    <t>8870</t>
  </si>
  <si>
    <t xml:space="preserve">Reimbursable Support - NPS </t>
  </si>
  <si>
    <t>Reim. Supp. Central School Support Pgm.</t>
  </si>
  <si>
    <t>as of 11/1/15</t>
  </si>
  <si>
    <t>OCTOBER 2015 HEADCOUNT - FY2016</t>
  </si>
  <si>
    <r>
      <rPr>
        <b/>
        <sz val="10"/>
        <rFont val="Verdana"/>
        <family val="2"/>
      </rPr>
      <t>**</t>
    </r>
    <r>
      <rPr>
        <b/>
        <sz val="9"/>
        <rFont val="Arial"/>
        <family val="2"/>
      </rPr>
      <t xml:space="preserve">  includes 35 FTE positions in o/c 021.</t>
    </r>
  </si>
  <si>
    <t>Full-time actuals, with the exception of custodians, are generated from FMS as of 11/8/2015.</t>
  </si>
  <si>
    <t xml:space="preserve">estimate of retirements and positions awaiting fund transfer to u/a 481 include 7,766 peds and 1,057 non-peds. </t>
  </si>
  <si>
    <t>8840</t>
  </si>
  <si>
    <t>Office of Community Schools</t>
  </si>
  <si>
    <t>as of 11/19/2015</t>
  </si>
  <si>
    <t>YTD - 11/19/15</t>
  </si>
  <si>
    <t>FY2017 November PLAN - All Funds Gapsheet</t>
  </si>
  <si>
    <t>FINAL</t>
  </si>
  <si>
    <t>FY2020</t>
  </si>
  <si>
    <t>Other Adjustments</t>
  </si>
  <si>
    <t>Renewal School Vision Screening Supplies</t>
  </si>
  <si>
    <t>YMI: NYC Service Mentor Corps</t>
  </si>
  <si>
    <t>YMI: Tutoring Initiative</t>
  </si>
  <si>
    <t>CSA Collective Bargaining</t>
  </si>
  <si>
    <t>SSA Fringe Adjustment</t>
  </si>
  <si>
    <t>Fringe Outyear Adjustment</t>
  </si>
  <si>
    <t>OSA Staff Analyst CB</t>
  </si>
  <si>
    <t>Auto mechanics CB</t>
  </si>
  <si>
    <t>Carpenters CB</t>
  </si>
  <si>
    <t>Furniture Maintainers CB</t>
  </si>
  <si>
    <t>Revenue Intra-cities Total</t>
  </si>
  <si>
    <t>Intra-city</t>
  </si>
  <si>
    <t xml:space="preserve">City Service Corps (DOE) </t>
  </si>
  <si>
    <t>Council Initiatives</t>
  </si>
  <si>
    <t>City Council Member Item Reallocation</t>
  </si>
  <si>
    <t>YEAR</t>
  </si>
  <si>
    <t>TO</t>
  </si>
  <si>
    <r>
      <t xml:space="preserve">SCA </t>
    </r>
    <r>
      <rPr>
        <sz val="9"/>
        <color indexed="8"/>
        <rFont val="Humanst521 BT"/>
        <family val="2"/>
      </rPr>
      <t>CONSTRUCTION</t>
    </r>
  </si>
  <si>
    <t>Total Tax-levy Funding PS &amp; OTPS</t>
  </si>
  <si>
    <t>Total Tax-levy Funding</t>
  </si>
  <si>
    <t>Total Categorical Programs</t>
  </si>
  <si>
    <t>OTHER SERVICES/FEES (DOHMH - Medical Supplies)</t>
  </si>
  <si>
    <t>9/29/15 &amp; 9/30/2015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</si>
</sst>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/d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0.0%"/>
    <numFmt numFmtId="170" formatCode="0.0"/>
    <numFmt numFmtId="171" formatCode="_(* #,##0.0_);_(* \(#,##0.0\);_(* &quot;-&quot;?_);_(@_)"/>
    <numFmt numFmtId="172" formatCode="_(&quot;$&quot;* #,##0.0_);_(&quot;$&quot;* \(#,##0.0\);_(&quot;$&quot;* &quot;-&quot;??_);_(@_)"/>
    <numFmt numFmtId="173" formatCode="&quot;$&quot;#,##0.0_);\(&quot;$&quot;#,##0.0\)"/>
    <numFmt numFmtId="174" formatCode="&quot;$&quot;#,##0.0"/>
    <numFmt numFmtId="175" formatCode="_(* #,##0_);_(* \(#,##0\);_(* &quot;-&quot;?_);_(@_)"/>
    <numFmt numFmtId="176" formatCode="m/d/yy;@"/>
    <numFmt numFmtId="177" formatCode="mm/dd/yy;@"/>
    <numFmt numFmtId="178" formatCode="_(* #,##0.0%_%\);_(* \(#,##0.0%\);_(%* &quot;-&quot;??_);_(@_)"/>
    <numFmt numFmtId="179" formatCode="[$-409]dddd\,\ mmmm\ dd\,\ yyyy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%"/>
    <numFmt numFmtId="186" formatCode="#,##0.000_);\(#,##0.000\)"/>
    <numFmt numFmtId="187" formatCode="#,##0.000000_);\(#,##0.000000\)"/>
    <numFmt numFmtId="188" formatCode="_(&quot;$&quot;* #,##0_);_(&quot;$&quot;* \(#,##0\);_(&quot;$&quot;* &quot;-&quot;??_);_(@_)"/>
    <numFmt numFmtId="189" formatCode="_(* #,##0.000_);_(* \(#,##0.000\);_(* &quot;-&quot;??_);_(@_)"/>
    <numFmt numFmtId="190" formatCode="0.00000000"/>
    <numFmt numFmtId="191" formatCode="&quot;$&quot;#,##0"/>
    <numFmt numFmtId="192" formatCode="#,##0.00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/d;@"/>
    <numFmt numFmtId="198" formatCode="0\ &quot;days&quot;"/>
    <numFmt numFmtId="199" formatCode="0\ &quot;Days&quot;"/>
    <numFmt numFmtId="200" formatCode="0\ &quot;Instructional Days&quot;"/>
    <numFmt numFmtId="201" formatCode="0\ &quot;for High Schools&quot;"/>
    <numFmt numFmtId="202" formatCode="_(* #,##0.0_);_(* \(#,##0.0\);_(* &quot;-&quot;_);_(@_)"/>
    <numFmt numFmtId="203" formatCode="0.0000%"/>
    <numFmt numFmtId="204" formatCode="_(&quot;$&quot;* #,##0.0_);_(&quot;$&quot;* \(#,##0.0\);_(&quot;$&quot;* &quot;-&quot;?_);_(@_)"/>
    <numFmt numFmtId="205" formatCode="[$-409]h:mm:ss\ AM/PM"/>
    <numFmt numFmtId="206" formatCode="mm/dd/yy"/>
    <numFmt numFmtId="207" formatCode="#,##0.0_);[Red]\(#,##0.0\)"/>
    <numFmt numFmtId="208" formatCode="_(* #,##0_);_(* \(#,##0\);_(* &quot;-&quot;????_);_(@_)"/>
    <numFmt numFmtId="209" formatCode="[$-409]mmm\-yy;@"/>
    <numFmt numFmtId="210" formatCode="_(* #,##0.0000_);_(* \(#,##0.0000\);_(* &quot;-&quot;??_);_(@_)"/>
    <numFmt numFmtId="211" formatCode="\$#,##0_);\(\$#,##0\)"/>
    <numFmt numFmtId="212" formatCode="#,##0.0000_);\(#,##0.0000\)"/>
    <numFmt numFmtId="213" formatCode="&quot;$&quot;#,##0.00"/>
    <numFmt numFmtId="214" formatCode="_(* #,##0.00_);_(* \(#,##0.00\);_(* &quot;-&quot;?_);_(@_)"/>
    <numFmt numFmtId="215" formatCode="_(* #,##0,_);_(* \(#,##0,\);_(* &quot;-&quot;_);_(@_)"/>
    <numFmt numFmtId="216" formatCode="_(* #,##0.0000000,_);_(* \(#,##0.0000000,\);_(* &quot;-&quot;_);_(@_)"/>
    <numFmt numFmtId="217" formatCode="_(* #,##0.000,_);_(* \(#,##0.000,\);_(* &quot;-&quot;_);_(@_)"/>
    <numFmt numFmtId="218" formatCode="_(* #,##0,_);_(* \(#,##0,\);_(* &quot;-&quot;??_);_(@_)"/>
    <numFmt numFmtId="219" formatCode="_(* #,##0.0,_);_(* \(#,##0.0,\);_(* &quot;-&quot;_);_(@_)"/>
    <numFmt numFmtId="220" formatCode="[$-409]mmmm\-yy;@"/>
    <numFmt numFmtId="221" formatCode="_(%* #,##0.0\);_(* \(%#,##0.0\);_(%* &quot;-&quot;??_);_(@_)"/>
    <numFmt numFmtId="222" formatCode="_(* #,##0.0\);_(* \(%#,##0.0\);_(%* &quot;-&quot;??_);_(@_)"/>
    <numFmt numFmtId="223" formatCode="_(* #,##0.0\);_(* \(#,##0.0\);_(%* &quot;-&quot;??_);_(@_)"/>
    <numFmt numFmtId="224" formatCode="_(* #,##0.0%\);_(* \(#,##0.0%\);_(%* &quot;-&quot;??_);_(@_)"/>
  </numFmts>
  <fonts count="110">
    <font>
      <sz val="10"/>
      <name val="Arial"/>
      <family val="0"/>
    </font>
    <font>
      <sz val="10"/>
      <name val="Optane"/>
      <family val="0"/>
    </font>
    <font>
      <b/>
      <sz val="16"/>
      <name val="Humanst521 BT"/>
      <family val="2"/>
    </font>
    <font>
      <sz val="15"/>
      <name val="Humanst521 BT"/>
      <family val="2"/>
    </font>
    <font>
      <sz val="14"/>
      <name val="Humanst521 BT"/>
      <family val="2"/>
    </font>
    <font>
      <sz val="12"/>
      <name val="Humanst521 BT"/>
      <family val="2"/>
    </font>
    <font>
      <sz val="9"/>
      <name val="Humanst521 BT"/>
      <family val="2"/>
    </font>
    <font>
      <sz val="11"/>
      <name val="Humanst521 BT"/>
      <family val="2"/>
    </font>
    <font>
      <sz val="10"/>
      <name val="Humanst521 BT"/>
      <family val="2"/>
    </font>
    <font>
      <b/>
      <sz val="9"/>
      <name val="Humanst521 BT"/>
      <family val="2"/>
    </font>
    <font>
      <sz val="8"/>
      <name val="Humanst521 BT"/>
      <family val="2"/>
    </font>
    <font>
      <sz val="10.5"/>
      <name val="Humanst521 BT"/>
      <family val="2"/>
    </font>
    <font>
      <u val="single"/>
      <sz val="9"/>
      <name val="Humanst521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7"/>
      <name val="Humanst521 BT"/>
      <family val="2"/>
    </font>
    <font>
      <i/>
      <sz val="8"/>
      <name val="Humanst521 BT"/>
      <family val="2"/>
    </font>
    <font>
      <b/>
      <sz val="14"/>
      <name val="Humanst521 BT"/>
      <family val="0"/>
    </font>
    <font>
      <i/>
      <sz val="9"/>
      <name val="Humanst521 BT"/>
      <family val="0"/>
    </font>
    <font>
      <sz val="9"/>
      <name val="Humanst521 Lt BT"/>
      <family val="0"/>
    </font>
    <font>
      <sz val="9"/>
      <name val="Optane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Humanst521 BT"/>
      <family val="0"/>
    </font>
    <font>
      <b/>
      <sz val="8"/>
      <name val="Humanst521 BT"/>
      <family val="0"/>
    </font>
    <font>
      <sz val="8"/>
      <name val="Humanst521 Lt BT"/>
      <family val="1"/>
    </font>
    <font>
      <b/>
      <i/>
      <sz val="9"/>
      <name val="Humanst521 BT"/>
      <family val="2"/>
    </font>
    <font>
      <sz val="9"/>
      <color indexed="8"/>
      <name val="Humanst521 BT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b/>
      <sz val="12"/>
      <name val="Humanst521 BT"/>
      <family val="0"/>
    </font>
    <font>
      <b/>
      <sz val="11"/>
      <name val="Comic Sans MS"/>
      <family val="4"/>
    </font>
    <font>
      <sz val="11"/>
      <name val="Comic Sans MS"/>
      <family val="4"/>
    </font>
    <font>
      <b/>
      <sz val="9"/>
      <name val="Verdana"/>
      <family val="2"/>
    </font>
    <font>
      <b/>
      <i/>
      <sz val="10"/>
      <name val="Humanst521 BT"/>
      <family val="0"/>
    </font>
    <font>
      <b/>
      <sz val="9"/>
      <name val="Arial"/>
      <family val="2"/>
    </font>
    <font>
      <b/>
      <sz val="9.5"/>
      <name val="Arial"/>
      <family val="2"/>
    </font>
    <font>
      <b/>
      <sz val="14"/>
      <color indexed="60"/>
      <name val="Comic Sans MS"/>
      <family val="4"/>
    </font>
    <font>
      <b/>
      <u val="single"/>
      <sz val="14"/>
      <name val="Comic Sans MS"/>
      <family val="4"/>
    </font>
    <font>
      <b/>
      <u val="single"/>
      <sz val="11"/>
      <name val="Comic Sans MS"/>
      <family val="4"/>
    </font>
    <font>
      <b/>
      <sz val="17"/>
      <name val="Humanst521 BT"/>
      <family val="2"/>
    </font>
    <font>
      <i/>
      <sz val="13"/>
      <name val="Humanst521 BT"/>
      <family val="2"/>
    </font>
    <font>
      <sz val="11"/>
      <color indexed="8"/>
      <name val="Comic Sans MS"/>
      <family val="4"/>
    </font>
    <font>
      <b/>
      <u val="single"/>
      <sz val="10"/>
      <name val="Humanst521 BT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u val="single"/>
      <sz val="10"/>
      <name val="Calibri"/>
      <family val="2"/>
    </font>
    <font>
      <sz val="10"/>
      <color indexed="9"/>
      <name val="Calibri"/>
      <family val="2"/>
    </font>
    <font>
      <b/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9"/>
      <color indexed="10"/>
      <name val="Arial"/>
      <family val="2"/>
    </font>
    <font>
      <b/>
      <sz val="10"/>
      <name val="Verdana"/>
      <family val="2"/>
    </font>
    <font>
      <b/>
      <i/>
      <sz val="9"/>
      <name val="Arial"/>
      <family val="2"/>
    </font>
    <font>
      <b/>
      <sz val="9"/>
      <color indexed="60"/>
      <name val="Arial"/>
      <family val="2"/>
    </font>
    <font>
      <b/>
      <i/>
      <sz val="9.5"/>
      <name val="Arial"/>
      <family val="2"/>
    </font>
    <font>
      <sz val="9.5"/>
      <name val="Arial"/>
      <family val="2"/>
    </font>
    <font>
      <b/>
      <sz val="20"/>
      <name val="Humanst521 BT"/>
      <family val="2"/>
    </font>
    <font>
      <sz val="16"/>
      <name val="Humanst521 BT"/>
      <family val="0"/>
    </font>
    <font>
      <sz val="18"/>
      <name val="Humanst521 BT"/>
      <family val="0"/>
    </font>
    <font>
      <b/>
      <i/>
      <sz val="10"/>
      <name val="Arial"/>
      <family val="2"/>
    </font>
    <font>
      <sz val="9"/>
      <color indexed="9"/>
      <name val="Humanst521 BT"/>
      <family val="2"/>
    </font>
    <font>
      <sz val="9.5"/>
      <name val="Humanst521 BT"/>
      <family val="2"/>
    </font>
    <font>
      <sz val="9.5"/>
      <color indexed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Humanst521 BT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Humanst521 BT"/>
      <family val="0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double"/>
      <top>
        <color indexed="63"/>
      </top>
      <bottom style="thin">
        <color indexed="55"/>
      </bottom>
    </border>
    <border>
      <left style="double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double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/>
      <top style="mediumDashed"/>
      <bottom/>
    </border>
    <border>
      <left/>
      <right/>
      <top/>
      <bottom style="mediumDash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/>
      <right style="thin"/>
      <top/>
      <bottom style="medium">
        <color indexed="23"/>
      </bottom>
    </border>
    <border>
      <left style="thin"/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thin"/>
      <top/>
      <bottom style="medium">
        <color indexed="55"/>
      </bottom>
    </border>
    <border>
      <left style="thin"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/>
      <right style="thin"/>
      <top style="medium">
        <color indexed="23"/>
      </top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double"/>
    </border>
    <border>
      <left/>
      <right/>
      <top style="dashed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hair">
        <color indexed="8"/>
      </left>
      <right/>
      <top/>
      <bottom style="thin"/>
    </border>
    <border>
      <left style="hair"/>
      <right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Dashed"/>
      <bottom/>
    </border>
    <border>
      <left/>
      <right style="medium"/>
      <top style="mediumDashed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mediumDashed"/>
    </border>
    <border>
      <left/>
      <right style="medium"/>
      <top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37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913">
    <xf numFmtId="0" fontId="0" fillId="0" borderId="0" xfId="0" applyAlignment="1">
      <alignment/>
    </xf>
    <xf numFmtId="164" fontId="2" fillId="0" borderId="0" xfId="42" applyNumberFormat="1" applyFont="1" applyAlignment="1">
      <alignment/>
    </xf>
    <xf numFmtId="164" fontId="4" fillId="0" borderId="0" xfId="42" applyNumberFormat="1" applyFont="1" applyAlignment="1">
      <alignment/>
    </xf>
    <xf numFmtId="164" fontId="5" fillId="0" borderId="0" xfId="42" applyNumberFormat="1" applyFont="1" applyAlignment="1">
      <alignment/>
    </xf>
    <xf numFmtId="37" fontId="6" fillId="0" borderId="0" xfId="42" applyNumberFormat="1" applyFont="1" applyAlignment="1">
      <alignment horizontal="centerContinuous"/>
    </xf>
    <xf numFmtId="164" fontId="7" fillId="0" borderId="0" xfId="42" applyNumberFormat="1" applyFont="1" applyAlignment="1">
      <alignment/>
    </xf>
    <xf numFmtId="37" fontId="8" fillId="0" borderId="10" xfId="42" applyNumberFormat="1" applyFont="1" applyBorder="1" applyAlignment="1">
      <alignment horizontal="center"/>
    </xf>
    <xf numFmtId="164" fontId="8" fillId="0" borderId="10" xfId="42" applyNumberFormat="1" applyFont="1" applyBorder="1" applyAlignment="1">
      <alignment horizontal="left"/>
    </xf>
    <xf numFmtId="164" fontId="8" fillId="0" borderId="0" xfId="60" applyNumberFormat="1" applyFont="1">
      <alignment/>
      <protection/>
    </xf>
    <xf numFmtId="164" fontId="8" fillId="0" borderId="0" xfId="42" applyNumberFormat="1" applyFont="1" applyAlignment="1">
      <alignment/>
    </xf>
    <xf numFmtId="37" fontId="9" fillId="0" borderId="0" xfId="42" applyNumberFormat="1" applyFont="1" applyAlignment="1" applyProtection="1">
      <alignment horizontal="center"/>
      <protection/>
    </xf>
    <xf numFmtId="164" fontId="9" fillId="0" borderId="0" xfId="42" applyNumberFormat="1" applyFont="1" applyAlignment="1" applyProtection="1">
      <alignment horizontal="left"/>
      <protection/>
    </xf>
    <xf numFmtId="164" fontId="9" fillId="0" borderId="0" xfId="42" applyNumberFormat="1" applyFont="1" applyAlignment="1" applyProtection="1">
      <alignment/>
      <protection/>
    </xf>
    <xf numFmtId="164" fontId="9" fillId="0" borderId="0" xfId="42" applyNumberFormat="1" applyFont="1" applyAlignment="1">
      <alignment/>
    </xf>
    <xf numFmtId="164" fontId="6" fillId="0" borderId="0" xfId="42" applyNumberFormat="1" applyFont="1" applyAlignment="1" applyProtection="1">
      <alignment horizontal="right"/>
      <protection/>
    </xf>
    <xf numFmtId="164" fontId="6" fillId="0" borderId="0" xfId="42" applyNumberFormat="1" applyFont="1" applyAlignment="1" applyProtection="1">
      <alignment/>
      <protection/>
    </xf>
    <xf numFmtId="164" fontId="9" fillId="0" borderId="0" xfId="42" applyNumberFormat="1" applyFont="1" applyAlignment="1">
      <alignment horizontal="center"/>
    </xf>
    <xf numFmtId="37" fontId="9" fillId="0" borderId="10" xfId="42" applyNumberFormat="1" applyFont="1" applyBorder="1" applyAlignment="1" applyProtection="1">
      <alignment horizontal="center"/>
      <protection/>
    </xf>
    <xf numFmtId="37" fontId="8" fillId="0" borderId="0" xfId="42" applyNumberFormat="1" applyFont="1" applyAlignment="1" applyProtection="1">
      <alignment horizontal="center"/>
      <protection/>
    </xf>
    <xf numFmtId="164" fontId="8" fillId="0" borderId="0" xfId="42" applyNumberFormat="1" applyFont="1" applyAlignment="1" applyProtection="1">
      <alignment horizontal="left"/>
      <protection/>
    </xf>
    <xf numFmtId="164" fontId="6" fillId="0" borderId="0" xfId="42" applyNumberFormat="1" applyFont="1" applyAlignment="1">
      <alignment/>
    </xf>
    <xf numFmtId="164" fontId="6" fillId="0" borderId="0" xfId="42" applyNumberFormat="1" applyFont="1" applyAlignment="1" applyProtection="1">
      <alignment horizontal="left"/>
      <protection/>
    </xf>
    <xf numFmtId="164" fontId="8" fillId="0" borderId="11" xfId="42" applyNumberFormat="1" applyFont="1" applyBorder="1" applyAlignment="1">
      <alignment/>
    </xf>
    <xf numFmtId="37" fontId="11" fillId="0" borderId="12" xfId="42" applyNumberFormat="1" applyFont="1" applyBorder="1" applyAlignment="1" applyProtection="1">
      <alignment horizontal="left"/>
      <protection/>
    </xf>
    <xf numFmtId="164" fontId="11" fillId="0" borderId="12" xfId="42" applyNumberFormat="1" applyFont="1" applyBorder="1" applyAlignment="1" applyProtection="1">
      <alignment horizontal="left"/>
      <protection/>
    </xf>
    <xf numFmtId="164" fontId="11" fillId="0" borderId="0" xfId="42" applyNumberFormat="1" applyFont="1" applyAlignment="1">
      <alignment/>
    </xf>
    <xf numFmtId="37" fontId="8" fillId="0" borderId="0" xfId="42" applyNumberFormat="1" applyFont="1" applyBorder="1" applyAlignment="1" applyProtection="1">
      <alignment horizontal="center"/>
      <protection/>
    </xf>
    <xf numFmtId="164" fontId="8" fillId="0" borderId="0" xfId="42" applyNumberFormat="1" applyFont="1" applyBorder="1" applyAlignment="1" applyProtection="1">
      <alignment horizontal="left"/>
      <protection/>
    </xf>
    <xf numFmtId="164" fontId="12" fillId="0" borderId="0" xfId="42" applyNumberFormat="1" applyFont="1" applyAlignment="1" applyProtection="1">
      <alignment horizontal="left"/>
      <protection/>
    </xf>
    <xf numFmtId="164" fontId="8" fillId="0" borderId="0" xfId="42" applyNumberFormat="1" applyFont="1" applyAlignment="1">
      <alignment horizontal="left"/>
    </xf>
    <xf numFmtId="37" fontId="8" fillId="0" borderId="0" xfId="42" applyNumberFormat="1" applyFont="1" applyAlignment="1">
      <alignment horizontal="center"/>
    </xf>
    <xf numFmtId="37" fontId="6" fillId="0" borderId="0" xfId="42" applyNumberFormat="1" applyFont="1" applyAlignment="1">
      <alignment/>
    </xf>
    <xf numFmtId="37" fontId="6" fillId="0" borderId="0" xfId="60" applyNumberFormat="1" applyFont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4" fontId="6" fillId="0" borderId="0" xfId="58" applyNumberFormat="1" applyFont="1" applyAlignment="1">
      <alignment horizontal="right"/>
      <protection/>
    </xf>
    <xf numFmtId="1" fontId="6" fillId="0" borderId="0" xfId="42" applyNumberFormat="1" applyFont="1" applyFill="1" applyAlignment="1">
      <alignment horizontal="center"/>
    </xf>
    <xf numFmtId="1" fontId="6" fillId="0" borderId="13" xfId="42" applyNumberFormat="1" applyFont="1" applyBorder="1" applyAlignment="1">
      <alignment horizontal="center"/>
    </xf>
    <xf numFmtId="37" fontId="16" fillId="0" borderId="13" xfId="42" applyNumberFormat="1" applyFont="1" applyBorder="1" applyAlignment="1">
      <alignment horizontal="center"/>
    </xf>
    <xf numFmtId="1" fontId="6" fillId="0" borderId="0" xfId="42" applyNumberFormat="1" applyFont="1" applyBorder="1" applyAlignment="1">
      <alignment horizontal="center"/>
    </xf>
    <xf numFmtId="1" fontId="6" fillId="0" borderId="10" xfId="42" applyNumberFormat="1" applyFont="1" applyBorder="1" applyAlignment="1">
      <alignment horizontal="center"/>
    </xf>
    <xf numFmtId="1" fontId="8" fillId="0" borderId="0" xfId="42" applyNumberFormat="1" applyFont="1" applyBorder="1" applyAlignment="1">
      <alignment horizontal="left"/>
    </xf>
    <xf numFmtId="37" fontId="16" fillId="0" borderId="0" xfId="42" applyNumberFormat="1" applyFont="1" applyAlignment="1">
      <alignment horizontal="left"/>
    </xf>
    <xf numFmtId="164" fontId="16" fillId="0" borderId="0" xfId="0" applyNumberFormat="1" applyFont="1" applyAlignment="1">
      <alignment horizontal="left"/>
    </xf>
    <xf numFmtId="164" fontId="10" fillId="0" borderId="14" xfId="58" applyNumberFormat="1" applyFont="1" applyBorder="1" applyAlignment="1" applyProtection="1">
      <alignment horizontal="left"/>
      <protection/>
    </xf>
    <xf numFmtId="164" fontId="10" fillId="0" borderId="0" xfId="58" applyNumberFormat="1" applyFont="1" applyBorder="1" applyAlignment="1" applyProtection="1">
      <alignment horizontal="left"/>
      <protection/>
    </xf>
    <xf numFmtId="164" fontId="6" fillId="0" borderId="0" xfId="58" applyNumberFormat="1" applyFont="1" applyBorder="1" applyAlignment="1" applyProtection="1">
      <alignment horizontal="right"/>
      <protection/>
    </xf>
    <xf numFmtId="164" fontId="6" fillId="0" borderId="0" xfId="58" applyNumberFormat="1" applyFont="1" applyBorder="1" applyAlignment="1">
      <alignment horizontal="right"/>
      <protection/>
    </xf>
    <xf numFmtId="164" fontId="6" fillId="0" borderId="0" xfId="0" applyNumberFormat="1" applyFont="1" applyAlignment="1">
      <alignment horizontal="right"/>
    </xf>
    <xf numFmtId="164" fontId="6" fillId="0" borderId="0" xfId="58" applyNumberFormat="1" applyFont="1" applyFill="1" applyAlignment="1">
      <alignment horizontal="right"/>
      <protection/>
    </xf>
    <xf numFmtId="164" fontId="10" fillId="0" borderId="14" xfId="58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Fill="1" applyAlignment="1">
      <alignment horizontal="right"/>
    </xf>
    <xf numFmtId="164" fontId="6" fillId="0" borderId="0" xfId="58" applyNumberFormat="1" applyFont="1" applyFill="1" applyAlignment="1" applyProtection="1">
      <alignment horizontal="right"/>
      <protection/>
    </xf>
    <xf numFmtId="164" fontId="6" fillId="0" borderId="0" xfId="58" applyNumberFormat="1" applyFont="1" applyFill="1" applyAlignment="1" quotePrefix="1">
      <alignment horizontal="right"/>
      <protection/>
    </xf>
    <xf numFmtId="164" fontId="10" fillId="0" borderId="14" xfId="58" applyNumberFormat="1" applyFont="1" applyFill="1" applyBorder="1" applyAlignment="1" applyProtection="1" quotePrefix="1">
      <alignment horizontal="left"/>
      <protection/>
    </xf>
    <xf numFmtId="164" fontId="10" fillId="0" borderId="0" xfId="58" applyNumberFormat="1" applyFont="1" applyFill="1" applyBorder="1" applyAlignment="1" applyProtection="1" quotePrefix="1">
      <alignment horizontal="left"/>
      <protection/>
    </xf>
    <xf numFmtId="37" fontId="8" fillId="0" borderId="0" xfId="42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7" fontId="6" fillId="0" borderId="0" xfId="42" applyNumberFormat="1" applyFont="1" applyBorder="1" applyAlignment="1">
      <alignment horizontal="center"/>
    </xf>
    <xf numFmtId="37" fontId="16" fillId="0" borderId="0" xfId="42" applyNumberFormat="1" applyFont="1" applyBorder="1" applyAlignment="1">
      <alignment horizontal="center"/>
    </xf>
    <xf numFmtId="164" fontId="6" fillId="0" borderId="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0" xfId="58" applyNumberFormat="1" applyFont="1" applyAlignment="1" applyProtection="1">
      <alignment horizontal="left"/>
      <protection/>
    </xf>
    <xf numFmtId="0" fontId="19" fillId="0" borderId="0" xfId="0" applyFont="1" applyBorder="1" applyAlignment="1">
      <alignment horizontal="left"/>
    </xf>
    <xf numFmtId="164" fontId="6" fillId="0" borderId="0" xfId="58" applyNumberFormat="1" applyFont="1" applyAlignment="1" applyProtection="1">
      <alignment horizontal="right"/>
      <protection/>
    </xf>
    <xf numFmtId="164" fontId="6" fillId="0" borderId="0" xfId="58" applyNumberFormat="1" applyFont="1" applyAlignment="1" applyProtection="1" quotePrefix="1">
      <alignment horizontal="right"/>
      <protection/>
    </xf>
    <xf numFmtId="164" fontId="6" fillId="0" borderId="0" xfId="58" applyNumberFormat="1" applyFont="1" applyFill="1" applyAlignment="1">
      <alignment horizontal="right"/>
      <protection/>
    </xf>
    <xf numFmtId="164" fontId="6" fillId="0" borderId="15" xfId="42" applyNumberFormat="1" applyFont="1" applyBorder="1" applyAlignment="1" applyProtection="1">
      <alignment horizontal="left"/>
      <protection/>
    </xf>
    <xf numFmtId="164" fontId="6" fillId="0" borderId="15" xfId="42" applyNumberFormat="1" applyFont="1" applyBorder="1" applyAlignment="1">
      <alignment/>
    </xf>
    <xf numFmtId="164" fontId="6" fillId="0" borderId="0" xfId="58" applyNumberFormat="1" applyFont="1" applyFill="1" applyAlignment="1" applyProtection="1">
      <alignment horizontal="right"/>
      <protection/>
    </xf>
    <xf numFmtId="164" fontId="6" fillId="0" borderId="0" xfId="42" applyNumberFormat="1" applyFont="1" applyAlignment="1" applyProtection="1" quotePrefix="1">
      <alignment horizontal="left"/>
      <protection/>
    </xf>
    <xf numFmtId="164" fontId="6" fillId="0" borderId="0" xfId="42" applyNumberFormat="1" applyFont="1" applyAlignment="1">
      <alignment horizontal="left"/>
    </xf>
    <xf numFmtId="164" fontId="9" fillId="0" borderId="0" xfId="42" applyNumberFormat="1" applyFont="1" applyAlignment="1" applyProtection="1">
      <alignment horizontal="center"/>
      <protection/>
    </xf>
    <xf numFmtId="164" fontId="6" fillId="0" borderId="0" xfId="42" applyNumberFormat="1" applyFont="1" applyAlignment="1" applyProtection="1">
      <alignment horizontal="center"/>
      <protection/>
    </xf>
    <xf numFmtId="37" fontId="6" fillId="0" borderId="0" xfId="42" applyNumberFormat="1" applyFont="1" applyAlignment="1" applyProtection="1">
      <alignment horizontal="center"/>
      <protection/>
    </xf>
    <xf numFmtId="164" fontId="9" fillId="0" borderId="10" xfId="42" applyNumberFormat="1" applyFont="1" applyBorder="1" applyAlignment="1" applyProtection="1">
      <alignment horizontal="center"/>
      <protection/>
    </xf>
    <xf numFmtId="37" fontId="9" fillId="0" borderId="0" xfId="42" applyNumberFormat="1" applyFont="1" applyAlignment="1" applyProtection="1">
      <alignment/>
      <protection/>
    </xf>
    <xf numFmtId="37" fontId="6" fillId="0" borderId="0" xfId="42" applyNumberFormat="1" applyFont="1" applyAlignment="1">
      <alignment horizontal="center"/>
    </xf>
    <xf numFmtId="37" fontId="9" fillId="0" borderId="10" xfId="42" applyNumberFormat="1" applyFont="1" applyBorder="1" applyAlignment="1" applyProtection="1" quotePrefix="1">
      <alignment horizontal="center"/>
      <protection/>
    </xf>
    <xf numFmtId="37" fontId="21" fillId="0" borderId="0" xfId="60" applyNumberFormat="1" applyFont="1">
      <alignment/>
      <protection/>
    </xf>
    <xf numFmtId="164" fontId="6" fillId="0" borderId="10" xfId="42" applyNumberFormat="1" applyFont="1" applyBorder="1" applyAlignment="1">
      <alignment/>
    </xf>
    <xf numFmtId="37" fontId="6" fillId="0" borderId="10" xfId="42" applyNumberFormat="1" applyFont="1" applyBorder="1" applyAlignment="1">
      <alignment/>
    </xf>
    <xf numFmtId="37" fontId="6" fillId="0" borderId="12" xfId="42" applyNumberFormat="1" applyFont="1" applyBorder="1" applyAlignment="1">
      <alignment/>
    </xf>
    <xf numFmtId="164" fontId="6" fillId="0" borderId="0" xfId="42" applyNumberFormat="1" applyFont="1" applyBorder="1" applyAlignment="1" applyProtection="1">
      <alignment horizontal="left"/>
      <protection/>
    </xf>
    <xf numFmtId="37" fontId="6" fillId="0" borderId="0" xfId="42" applyNumberFormat="1" applyFont="1" applyBorder="1" applyAlignment="1" applyProtection="1">
      <alignment/>
      <protection/>
    </xf>
    <xf numFmtId="37" fontId="6" fillId="0" borderId="0" xfId="42" applyNumberFormat="1" applyFont="1" applyAlignment="1">
      <alignment horizontal="left"/>
    </xf>
    <xf numFmtId="164" fontId="6" fillId="0" borderId="12" xfId="42" applyNumberFormat="1" applyFont="1" applyBorder="1" applyAlignment="1">
      <alignment/>
    </xf>
    <xf numFmtId="5" fontId="6" fillId="0" borderId="12" xfId="42" applyNumberFormat="1" applyFont="1" applyBorder="1" applyAlignment="1">
      <alignment/>
    </xf>
    <xf numFmtId="166" fontId="6" fillId="0" borderId="0" xfId="42" applyNumberFormat="1" applyFont="1" applyAlignment="1">
      <alignment horizontal="right"/>
    </xf>
    <xf numFmtId="166" fontId="6" fillId="0" borderId="0" xfId="58" applyNumberFormat="1" applyFont="1" applyAlignment="1">
      <alignment horizontal="right"/>
      <protection/>
    </xf>
    <xf numFmtId="166" fontId="6" fillId="0" borderId="0" xfId="58" applyNumberFormat="1" applyFont="1" applyBorder="1" applyAlignment="1">
      <alignment horizontal="right"/>
      <protection/>
    </xf>
    <xf numFmtId="166" fontId="6" fillId="0" borderId="0" xfId="58" applyNumberFormat="1" applyFont="1" applyFill="1" applyAlignment="1">
      <alignment horizontal="right"/>
      <protection/>
    </xf>
    <xf numFmtId="37" fontId="6" fillId="0" borderId="13" xfId="42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7" fontId="6" fillId="0" borderId="10" xfId="42" applyNumberFormat="1" applyFont="1" applyBorder="1" applyAlignment="1">
      <alignment horizontal="center"/>
    </xf>
    <xf numFmtId="14" fontId="6" fillId="0" borderId="10" xfId="0" applyNumberFormat="1" applyFont="1" applyBorder="1" applyAlignment="1" quotePrefix="1">
      <alignment horizontal="center"/>
    </xf>
    <xf numFmtId="0" fontId="23" fillId="0" borderId="0" xfId="0" applyFont="1" applyAlignment="1">
      <alignment/>
    </xf>
    <xf numFmtId="0" fontId="6" fillId="0" borderId="0" xfId="62" applyFont="1" applyAlignment="1">
      <alignment horizontal="left"/>
      <protection/>
    </xf>
    <xf numFmtId="168" fontId="6" fillId="0" borderId="0" xfId="62" applyNumberFormat="1" applyFont="1" applyAlignment="1">
      <alignment horizontal="left"/>
      <protection/>
    </xf>
    <xf numFmtId="166" fontId="6" fillId="0" borderId="0" xfId="62" applyNumberFormat="1" applyFont="1" applyAlignment="1">
      <alignment horizontal="left"/>
      <protection/>
    </xf>
    <xf numFmtId="167" fontId="6" fillId="0" borderId="0" xfId="42" applyNumberFormat="1" applyFont="1" applyAlignment="1">
      <alignment horizontal="left"/>
    </xf>
    <xf numFmtId="0" fontId="6" fillId="0" borderId="12" xfId="62" applyFont="1" applyBorder="1" applyAlignment="1">
      <alignment horizontal="left"/>
      <protection/>
    </xf>
    <xf numFmtId="166" fontId="23" fillId="0" borderId="0" xfId="0" applyNumberFormat="1" applyFont="1" applyAlignment="1">
      <alignment/>
    </xf>
    <xf numFmtId="167" fontId="6" fillId="0" borderId="0" xfId="42" applyNumberFormat="1" applyFont="1" applyAlignment="1">
      <alignment/>
    </xf>
    <xf numFmtId="173" fontId="6" fillId="0" borderId="14" xfId="45" applyNumberFormat="1" applyFont="1" applyFill="1" applyBorder="1" applyAlignment="1">
      <alignment horizontal="right"/>
    </xf>
    <xf numFmtId="173" fontId="6" fillId="0" borderId="0" xfId="58" applyNumberFormat="1" applyFont="1" applyFill="1" applyBorder="1" applyAlignment="1" applyProtection="1" quotePrefix="1">
      <alignment horizontal="right"/>
      <protection/>
    </xf>
    <xf numFmtId="173" fontId="6" fillId="0" borderId="0" xfId="45" applyNumberFormat="1" applyFont="1" applyFill="1" applyBorder="1" applyAlignment="1">
      <alignment horizontal="right"/>
    </xf>
    <xf numFmtId="173" fontId="6" fillId="0" borderId="0" xfId="58" applyNumberFormat="1" applyFont="1" applyFill="1" applyAlignment="1">
      <alignment horizontal="right"/>
      <protection/>
    </xf>
    <xf numFmtId="173" fontId="6" fillId="0" borderId="0" xfId="0" applyNumberFormat="1" applyFont="1" applyFill="1" applyAlignment="1">
      <alignment horizontal="right"/>
    </xf>
    <xf numFmtId="173" fontId="6" fillId="0" borderId="14" xfId="45" applyNumberFormat="1" applyFont="1" applyBorder="1" applyAlignment="1" applyProtection="1">
      <alignment horizontal="right"/>
      <protection/>
    </xf>
    <xf numFmtId="164" fontId="10" fillId="0" borderId="0" xfId="58" applyNumberFormat="1" applyFont="1" applyFill="1" applyAlignment="1" applyProtection="1">
      <alignment horizontal="left"/>
      <protection/>
    </xf>
    <xf numFmtId="0" fontId="22" fillId="0" borderId="14" xfId="0" applyFont="1" applyFill="1" applyBorder="1" applyAlignment="1">
      <alignment/>
    </xf>
    <xf numFmtId="164" fontId="10" fillId="0" borderId="0" xfId="0" applyNumberFormat="1" applyFont="1" applyAlignment="1">
      <alignment horizontal="left"/>
    </xf>
    <xf numFmtId="164" fontId="10" fillId="0" borderId="0" xfId="58" applyNumberFormat="1" applyFont="1" applyAlignment="1">
      <alignment horizontal="left"/>
      <protection/>
    </xf>
    <xf numFmtId="164" fontId="10" fillId="0" borderId="0" xfId="58" applyNumberFormat="1" applyFont="1" applyFill="1" applyAlignment="1">
      <alignment horizontal="left"/>
      <protection/>
    </xf>
    <xf numFmtId="164" fontId="10" fillId="0" borderId="0" xfId="0" applyNumberFormat="1" applyFont="1" applyFill="1" applyAlignment="1">
      <alignment horizontal="left"/>
    </xf>
    <xf numFmtId="164" fontId="10" fillId="0" borderId="0" xfId="58" applyNumberFormat="1" applyFont="1" applyFill="1" applyAlignment="1" quotePrefix="1">
      <alignment horizontal="left"/>
      <protection/>
    </xf>
    <xf numFmtId="0" fontId="10" fillId="0" borderId="0" xfId="62" applyFont="1" applyAlignment="1">
      <alignment horizontal="left"/>
      <protection/>
    </xf>
    <xf numFmtId="0" fontId="10" fillId="0" borderId="12" xfId="62" applyFont="1" applyBorder="1" applyAlignment="1">
      <alignment horizontal="left"/>
      <protection/>
    </xf>
    <xf numFmtId="0" fontId="22" fillId="0" borderId="0" xfId="0" applyFont="1" applyAlignment="1">
      <alignment/>
    </xf>
    <xf numFmtId="164" fontId="26" fillId="0" borderId="0" xfId="58" applyNumberFormat="1" applyFont="1" applyFill="1" applyAlignment="1" applyProtection="1">
      <alignment horizontal="left"/>
      <protection/>
    </xf>
    <xf numFmtId="0" fontId="10" fillId="0" borderId="0" xfId="0" applyFont="1" applyFill="1" applyBorder="1" applyAlignment="1">
      <alignment horizontal="center"/>
    </xf>
    <xf numFmtId="1" fontId="10" fillId="0" borderId="0" xfId="58" applyNumberFormat="1" applyFont="1" applyAlignment="1" applyProtection="1" quotePrefix="1">
      <alignment horizontal="center"/>
      <protection/>
    </xf>
    <xf numFmtId="1" fontId="25" fillId="0" borderId="0" xfId="58" applyNumberFormat="1" applyFont="1" applyAlignment="1" applyProtection="1" quotePrefix="1">
      <alignment horizontal="left"/>
      <protection/>
    </xf>
    <xf numFmtId="1" fontId="25" fillId="0" borderId="0" xfId="58" applyNumberFormat="1" applyFont="1" applyAlignment="1" applyProtection="1">
      <alignment horizontal="left"/>
      <protection/>
    </xf>
    <xf numFmtId="1" fontId="10" fillId="0" borderId="0" xfId="58" applyNumberFormat="1" applyFont="1" applyFill="1" applyAlignment="1">
      <alignment horizontal="left"/>
      <protection/>
    </xf>
    <xf numFmtId="1" fontId="25" fillId="0" borderId="0" xfId="58" applyNumberFormat="1" applyFont="1" applyFill="1" applyAlignment="1" applyProtection="1">
      <alignment horizontal="left"/>
      <protection/>
    </xf>
    <xf numFmtId="1" fontId="10" fillId="0" borderId="0" xfId="58" applyNumberFormat="1" applyFont="1" applyFill="1" applyAlignment="1" applyProtection="1" quotePrefix="1">
      <alignment horizontal="left"/>
      <protection/>
    </xf>
    <xf numFmtId="1" fontId="25" fillId="0" borderId="0" xfId="58" applyNumberFormat="1" applyFont="1" applyFill="1" applyAlignment="1" applyProtection="1" quotePrefix="1">
      <alignment horizontal="left"/>
      <protection/>
    </xf>
    <xf numFmtId="1" fontId="10" fillId="0" borderId="0" xfId="58" applyNumberFormat="1" applyFont="1" applyFill="1" applyAlignment="1" quotePrefix="1">
      <alignment horizontal="left"/>
      <protection/>
    </xf>
    <xf numFmtId="0" fontId="10" fillId="0" borderId="0" xfId="64" applyFont="1" applyBorder="1">
      <alignment/>
      <protection/>
    </xf>
    <xf numFmtId="37" fontId="6" fillId="0" borderId="0" xfId="42" applyNumberFormat="1" applyFont="1" applyBorder="1" applyAlignment="1" applyProtection="1">
      <alignment horizontal="right"/>
      <protection/>
    </xf>
    <xf numFmtId="164" fontId="6" fillId="0" borderId="0" xfId="42" applyNumberFormat="1" applyFont="1" applyBorder="1" applyAlignment="1">
      <alignment horizontal="right"/>
    </xf>
    <xf numFmtId="37" fontId="6" fillId="0" borderId="0" xfId="42" applyNumberFormat="1" applyFont="1" applyBorder="1" applyAlignment="1" applyProtection="1">
      <alignment horizontal="center"/>
      <protection/>
    </xf>
    <xf numFmtId="37" fontId="6" fillId="0" borderId="0" xfId="42" applyNumberFormat="1" applyFont="1" applyBorder="1" applyAlignment="1" applyProtection="1">
      <alignment horizontal="centerContinuous"/>
      <protection/>
    </xf>
    <xf numFmtId="37" fontId="6" fillId="0" borderId="0" xfId="64" applyNumberFormat="1" applyFont="1" applyBorder="1" applyAlignment="1">
      <alignment horizontal="center"/>
      <protection/>
    </xf>
    <xf numFmtId="37" fontId="10" fillId="0" borderId="0" xfId="64" applyNumberFormat="1" applyFont="1" applyBorder="1">
      <alignment/>
      <protection/>
    </xf>
    <xf numFmtId="37" fontId="17" fillId="0" borderId="0" xfId="64" applyNumberFormat="1" applyFont="1" applyBorder="1">
      <alignment/>
      <protection/>
    </xf>
    <xf numFmtId="37" fontId="10" fillId="0" borderId="16" xfId="64" applyNumberFormat="1" applyFont="1" applyBorder="1">
      <alignment/>
      <protection/>
    </xf>
    <xf numFmtId="0" fontId="10" fillId="0" borderId="16" xfId="64" applyFont="1" applyBorder="1">
      <alignment/>
      <protection/>
    </xf>
    <xf numFmtId="37" fontId="17" fillId="0" borderId="16" xfId="64" applyNumberFormat="1" applyFont="1" applyBorder="1">
      <alignment/>
      <protection/>
    </xf>
    <xf numFmtId="37" fontId="6" fillId="0" borderId="0" xfId="42" applyNumberFormat="1" applyFont="1" applyBorder="1" applyAlignment="1" applyProtection="1">
      <alignment horizontal="left"/>
      <protection/>
    </xf>
    <xf numFmtId="37" fontId="6" fillId="0" borderId="0" xfId="42" applyNumberFormat="1" applyFont="1" applyBorder="1" applyAlignment="1">
      <alignment/>
    </xf>
    <xf numFmtId="37" fontId="19" fillId="0" borderId="0" xfId="64" applyNumberFormat="1" applyFont="1" applyBorder="1">
      <alignment/>
      <protection/>
    </xf>
    <xf numFmtId="37" fontId="19" fillId="0" borderId="0" xfId="42" applyNumberFormat="1" applyFont="1" applyBorder="1" applyAlignment="1">
      <alignment/>
    </xf>
    <xf numFmtId="0" fontId="6" fillId="0" borderId="0" xfId="64" applyFont="1" applyBorder="1">
      <alignment/>
      <protection/>
    </xf>
    <xf numFmtId="164" fontId="6" fillId="0" borderId="0" xfId="42" applyNumberFormat="1" applyFont="1" applyBorder="1" applyAlignment="1" applyProtection="1">
      <alignment/>
      <protection/>
    </xf>
    <xf numFmtId="164" fontId="6" fillId="0" borderId="0" xfId="42" applyNumberFormat="1" applyFont="1" applyBorder="1" applyAlignment="1">
      <alignment/>
    </xf>
    <xf numFmtId="0" fontId="6" fillId="0" borderId="0" xfId="59" applyFont="1" applyBorder="1">
      <alignment/>
      <protection/>
    </xf>
    <xf numFmtId="37" fontId="6" fillId="0" borderId="0" xfId="42" applyNumberFormat="1" applyFont="1" applyBorder="1" applyAlignment="1" applyProtection="1" quotePrefix="1">
      <alignment horizontal="left"/>
      <protection/>
    </xf>
    <xf numFmtId="164" fontId="19" fillId="0" borderId="0" xfId="64" applyNumberFormat="1" applyFont="1" applyBorder="1">
      <alignment/>
      <protection/>
    </xf>
    <xf numFmtId="37" fontId="9" fillId="0" borderId="0" xfId="42" applyNumberFormat="1" applyFont="1" applyBorder="1" applyAlignment="1" applyProtection="1">
      <alignment horizontal="center"/>
      <protection/>
    </xf>
    <xf numFmtId="37" fontId="9" fillId="0" borderId="0" xfId="42" applyNumberFormat="1" applyFont="1" applyBorder="1" applyAlignment="1" applyProtection="1">
      <alignment/>
      <protection/>
    </xf>
    <xf numFmtId="37" fontId="27" fillId="0" borderId="0" xfId="42" applyNumberFormat="1" applyFont="1" applyBorder="1" applyAlignment="1" applyProtection="1">
      <alignment/>
      <protection/>
    </xf>
    <xf numFmtId="164" fontId="9" fillId="0" borderId="0" xfId="42" applyNumberFormat="1" applyFont="1" applyBorder="1" applyAlignment="1">
      <alignment/>
    </xf>
    <xf numFmtId="164" fontId="8" fillId="0" borderId="10" xfId="42" applyNumberFormat="1" applyFont="1" applyBorder="1" applyAlignment="1">
      <alignment/>
    </xf>
    <xf numFmtId="37" fontId="8" fillId="0" borderId="10" xfId="42" applyNumberFormat="1" applyFont="1" applyBorder="1" applyAlignment="1">
      <alignment/>
    </xf>
    <xf numFmtId="169" fontId="6" fillId="0" borderId="0" xfId="42" applyNumberFormat="1" applyFont="1" applyBorder="1" applyAlignment="1">
      <alignment/>
    </xf>
    <xf numFmtId="0" fontId="8" fillId="0" borderId="0" xfId="42" applyNumberFormat="1" applyFont="1" applyBorder="1" applyAlignment="1" applyProtection="1">
      <alignment horizontal="left"/>
      <protection/>
    </xf>
    <xf numFmtId="0" fontId="8" fillId="0" borderId="0" xfId="63" applyFont="1">
      <alignment/>
      <protection/>
    </xf>
    <xf numFmtId="166" fontId="6" fillId="0" borderId="0" xfId="42" applyNumberFormat="1" applyFont="1" applyAlignment="1">
      <alignment/>
    </xf>
    <xf numFmtId="0" fontId="8" fillId="0" borderId="13" xfId="63" applyFont="1" applyBorder="1">
      <alignment/>
      <protection/>
    </xf>
    <xf numFmtId="167" fontId="6" fillId="0" borderId="13" xfId="42" applyNumberFormat="1" applyFont="1" applyBorder="1" applyAlignment="1">
      <alignment/>
    </xf>
    <xf numFmtId="166" fontId="6" fillId="0" borderId="13" xfId="42" applyNumberFormat="1" applyFont="1" applyBorder="1" applyAlignment="1">
      <alignment/>
    </xf>
    <xf numFmtId="167" fontId="6" fillId="0" borderId="0" xfId="42" applyNumberFormat="1" applyFont="1" applyBorder="1" applyAlignment="1">
      <alignment horizontal="center"/>
    </xf>
    <xf numFmtId="166" fontId="6" fillId="0" borderId="0" xfId="42" applyNumberFormat="1" applyFont="1" applyBorder="1" applyAlignment="1">
      <alignment horizontal="center"/>
    </xf>
    <xf numFmtId="0" fontId="8" fillId="0" borderId="0" xfId="63" applyFont="1" applyBorder="1" applyAlignment="1">
      <alignment horizontal="right"/>
      <protection/>
    </xf>
    <xf numFmtId="0" fontId="8" fillId="0" borderId="10" xfId="63" applyFont="1" applyBorder="1" applyAlignment="1">
      <alignment horizontal="right"/>
      <protection/>
    </xf>
    <xf numFmtId="167" fontId="6" fillId="0" borderId="10" xfId="42" applyNumberFormat="1" applyFont="1" applyBorder="1" applyAlignment="1">
      <alignment horizontal="right"/>
    </xf>
    <xf numFmtId="166" fontId="6" fillId="0" borderId="10" xfId="42" applyNumberFormat="1" applyFont="1" applyBorder="1" applyAlignment="1">
      <alignment horizontal="right"/>
    </xf>
    <xf numFmtId="49" fontId="6" fillId="0" borderId="0" xfId="63" applyNumberFormat="1" applyFont="1">
      <alignment/>
      <protection/>
    </xf>
    <xf numFmtId="0" fontId="8" fillId="0" borderId="0" xfId="59" applyFont="1">
      <alignment/>
      <protection/>
    </xf>
    <xf numFmtId="164" fontId="7" fillId="0" borderId="0" xfId="42" applyNumberFormat="1" applyFont="1" applyBorder="1" applyAlignment="1">
      <alignment/>
    </xf>
    <xf numFmtId="166" fontId="6" fillId="0" borderId="0" xfId="42" applyNumberFormat="1" applyFont="1" applyAlignment="1">
      <alignment horizontal="centerContinuous"/>
    </xf>
    <xf numFmtId="0" fontId="6" fillId="0" borderId="0" xfId="63" applyFont="1" applyAlignment="1">
      <alignment horizontal="right"/>
      <protection/>
    </xf>
    <xf numFmtId="167" fontId="6" fillId="0" borderId="0" xfId="42" applyNumberFormat="1" applyFont="1" applyAlignment="1">
      <alignment horizontal="center"/>
    </xf>
    <xf numFmtId="166" fontId="6" fillId="0" borderId="0" xfId="42" applyNumberFormat="1" applyFont="1" applyAlignment="1">
      <alignment horizontal="center"/>
    </xf>
    <xf numFmtId="49" fontId="6" fillId="0" borderId="0" xfId="63" applyNumberFormat="1" applyFont="1" quotePrefix="1">
      <alignment/>
      <protection/>
    </xf>
    <xf numFmtId="0" fontId="6" fillId="0" borderId="0" xfId="59" applyFont="1">
      <alignment/>
      <protection/>
    </xf>
    <xf numFmtId="0" fontId="1" fillId="0" borderId="0" xfId="59" applyFont="1">
      <alignment/>
      <protection/>
    </xf>
    <xf numFmtId="0" fontId="23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9" fillId="0" borderId="12" xfId="62" applyFont="1" applyBorder="1" applyAlignment="1">
      <alignment horizontal="left"/>
      <protection/>
    </xf>
    <xf numFmtId="176" fontId="6" fillId="0" borderId="0" xfId="42" applyNumberFormat="1" applyFont="1" applyAlignment="1" applyProtection="1" quotePrefix="1">
      <alignment horizontal="center"/>
      <protection/>
    </xf>
    <xf numFmtId="164" fontId="6" fillId="0" borderId="0" xfId="42" applyNumberFormat="1" applyFont="1" applyBorder="1" applyAlignment="1">
      <alignment/>
    </xf>
    <xf numFmtId="164" fontId="6" fillId="0" borderId="0" xfId="45" applyNumberFormat="1" applyFont="1" applyAlignment="1">
      <alignment horizontal="right" readingOrder="1"/>
    </xf>
    <xf numFmtId="0" fontId="8" fillId="0" borderId="0" xfId="59" applyFont="1" applyAlignment="1">
      <alignment horizontal="right"/>
      <protection/>
    </xf>
    <xf numFmtId="166" fontId="6" fillId="0" borderId="0" xfId="42" applyNumberFormat="1" applyFont="1" applyFill="1" applyAlignment="1">
      <alignment/>
    </xf>
    <xf numFmtId="37" fontId="6" fillId="0" borderId="0" xfId="42" applyNumberFormat="1" applyFont="1" applyAlignment="1" applyProtection="1">
      <alignment/>
      <protection/>
    </xf>
    <xf numFmtId="164" fontId="6" fillId="0" borderId="0" xfId="0" applyNumberFormat="1" applyFont="1" applyBorder="1" applyAlignment="1">
      <alignment/>
    </xf>
    <xf numFmtId="164" fontId="6" fillId="0" borderId="0" xfId="58" applyNumberFormat="1" applyFont="1" applyAlignment="1">
      <alignment/>
      <protection/>
    </xf>
    <xf numFmtId="164" fontId="20" fillId="0" borderId="0" xfId="58" applyNumberFormat="1" applyFont="1" applyFill="1" applyAlignment="1">
      <alignment/>
      <protection/>
    </xf>
    <xf numFmtId="164" fontId="6" fillId="0" borderId="0" xfId="42" applyNumberFormat="1" applyFont="1" applyAlignment="1">
      <alignment horizontal="right"/>
    </xf>
    <xf numFmtId="164" fontId="6" fillId="0" borderId="0" xfId="42" applyNumberFormat="1" applyFont="1" applyFill="1" applyAlignment="1">
      <alignment horizontal="right"/>
    </xf>
    <xf numFmtId="164" fontId="6" fillId="0" borderId="0" xfId="64" applyNumberFormat="1" applyFont="1" applyBorder="1" applyAlignment="1">
      <alignment horizontal="center"/>
      <protection/>
    </xf>
    <xf numFmtId="173" fontId="6" fillId="0" borderId="12" xfId="45" applyNumberFormat="1" applyFont="1" applyBorder="1" applyAlignment="1">
      <alignment horizontal="right" readingOrder="1"/>
    </xf>
    <xf numFmtId="37" fontId="5" fillId="0" borderId="0" xfId="42" applyNumberFormat="1" applyFont="1" applyAlignment="1">
      <alignment horizontal="center"/>
    </xf>
    <xf numFmtId="1" fontId="6" fillId="0" borderId="0" xfId="42" applyNumberFormat="1" applyFont="1" applyAlignment="1">
      <alignment horizontal="centerContinuous"/>
    </xf>
    <xf numFmtId="0" fontId="23" fillId="0" borderId="0" xfId="0" applyFont="1" applyAlignment="1">
      <alignment horizontal="center"/>
    </xf>
    <xf numFmtId="37" fontId="16" fillId="0" borderId="10" xfId="42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0" xfId="58" applyNumberFormat="1" applyFont="1" applyAlignment="1">
      <alignment horizontal="left"/>
      <protection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164" fontId="6" fillId="0" borderId="0" xfId="58" applyNumberFormat="1" applyFont="1" applyAlignment="1">
      <alignment horizontal="right"/>
      <protection/>
    </xf>
    <xf numFmtId="169" fontId="20" fillId="0" borderId="0" xfId="67" applyNumberFormat="1" applyFont="1" applyFill="1" applyAlignment="1">
      <alignment/>
    </xf>
    <xf numFmtId="169" fontId="0" fillId="0" borderId="0" xfId="0" applyNumberFormat="1" applyFont="1" applyAlignment="1">
      <alignment/>
    </xf>
    <xf numFmtId="169" fontId="0" fillId="0" borderId="10" xfId="0" applyNumberFormat="1" applyFont="1" applyBorder="1" applyAlignment="1">
      <alignment/>
    </xf>
    <xf numFmtId="169" fontId="20" fillId="0" borderId="14" xfId="67" applyNumberFormat="1" applyFont="1" applyFill="1" applyBorder="1" applyAlignment="1">
      <alignment/>
    </xf>
    <xf numFmtId="1" fontId="9" fillId="0" borderId="0" xfId="58" applyNumberFormat="1" applyFont="1" applyFill="1" applyAlignment="1" applyProtection="1" quotePrefix="1">
      <alignment horizontal="left"/>
      <protection/>
    </xf>
    <xf numFmtId="164" fontId="16" fillId="0" borderId="0" xfId="58" applyNumberFormat="1" applyFont="1" applyFill="1" applyAlignment="1" applyProtection="1">
      <alignment horizontal="left"/>
      <protection/>
    </xf>
    <xf numFmtId="1" fontId="6" fillId="0" borderId="0" xfId="58" applyNumberFormat="1" applyFont="1" applyFill="1" applyAlignment="1" quotePrefix="1">
      <alignment horizontal="left"/>
      <protection/>
    </xf>
    <xf numFmtId="164" fontId="16" fillId="0" borderId="14" xfId="58" applyNumberFormat="1" applyFont="1" applyFill="1" applyBorder="1" applyAlignment="1" applyProtection="1" quotePrefix="1">
      <alignment horizontal="left"/>
      <protection/>
    </xf>
    <xf numFmtId="169" fontId="6" fillId="0" borderId="14" xfId="67" applyNumberFormat="1" applyFont="1" applyFill="1" applyBorder="1" applyAlignment="1">
      <alignment horizontal="right"/>
    </xf>
    <xf numFmtId="164" fontId="16" fillId="0" borderId="0" xfId="58" applyNumberFormat="1" applyFont="1" applyFill="1" applyBorder="1" applyAlignment="1" applyProtection="1" quotePrefix="1">
      <alignment horizontal="left"/>
      <protection/>
    </xf>
    <xf numFmtId="164" fontId="6" fillId="0" borderId="13" xfId="58" applyNumberFormat="1" applyFont="1" applyFill="1" applyBorder="1" applyAlignment="1" applyProtection="1" quotePrefix="1">
      <alignment horizontal="right"/>
      <protection/>
    </xf>
    <xf numFmtId="172" fontId="6" fillId="0" borderId="13" xfId="45" applyNumberFormat="1" applyFont="1" applyFill="1" applyBorder="1" applyAlignment="1">
      <alignment horizontal="right"/>
    </xf>
    <xf numFmtId="1" fontId="6" fillId="0" borderId="0" xfId="58" applyNumberFormat="1" applyFont="1" applyFill="1" applyAlignment="1">
      <alignment horizontal="left"/>
      <protection/>
    </xf>
    <xf numFmtId="164" fontId="16" fillId="0" borderId="0" xfId="58" applyNumberFormat="1" applyFont="1" applyFill="1" applyAlignment="1">
      <alignment horizontal="left"/>
      <protection/>
    </xf>
    <xf numFmtId="173" fontId="6" fillId="0" borderId="10" xfId="45" applyNumberFormat="1" applyFont="1" applyBorder="1" applyAlignment="1" applyProtection="1">
      <alignment horizontal="right"/>
      <protection/>
    </xf>
    <xf numFmtId="164" fontId="24" fillId="0" borderId="14" xfId="58" applyNumberFormat="1" applyFont="1" applyFill="1" applyBorder="1" applyAlignment="1" applyProtection="1">
      <alignment horizontal="left"/>
      <protection/>
    </xf>
    <xf numFmtId="173" fontId="6" fillId="0" borderId="14" xfId="58" applyNumberFormat="1" applyFont="1" applyBorder="1" applyAlignment="1" applyProtection="1">
      <alignment horizontal="right"/>
      <protection/>
    </xf>
    <xf numFmtId="166" fontId="6" fillId="0" borderId="0" xfId="42" applyNumberFormat="1" applyFont="1" applyAlignment="1" applyProtection="1">
      <alignment horizontal="right"/>
      <protection/>
    </xf>
    <xf numFmtId="0" fontId="0" fillId="0" borderId="0" xfId="0" applyBorder="1" applyAlignment="1">
      <alignment/>
    </xf>
    <xf numFmtId="164" fontId="6" fillId="0" borderId="0" xfId="42" applyNumberFormat="1" applyFont="1" applyFill="1" applyAlignment="1" applyProtection="1">
      <alignment horizontal="left"/>
      <protection/>
    </xf>
    <xf numFmtId="37" fontId="6" fillId="0" borderId="0" xfId="60" applyNumberFormat="1" applyFont="1" applyFill="1">
      <alignment/>
      <protection/>
    </xf>
    <xf numFmtId="37" fontId="6" fillId="0" borderId="0" xfId="42" applyNumberFormat="1" applyFont="1" applyFill="1" applyAlignment="1">
      <alignment/>
    </xf>
    <xf numFmtId="37" fontId="21" fillId="0" borderId="0" xfId="60" applyNumberFormat="1" applyFont="1" applyFill="1">
      <alignment/>
      <protection/>
    </xf>
    <xf numFmtId="169" fontId="20" fillId="0" borderId="10" xfId="67" applyNumberFormat="1" applyFont="1" applyFill="1" applyBorder="1" applyAlignment="1">
      <alignment/>
    </xf>
    <xf numFmtId="0" fontId="30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/>
    </xf>
    <xf numFmtId="166" fontId="8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0" fontId="0" fillId="0" borderId="0" xfId="0" applyFill="1" applyAlignment="1">
      <alignment/>
    </xf>
    <xf numFmtId="1" fontId="6" fillId="0" borderId="10" xfId="42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6" fillId="0" borderId="0" xfId="63" applyNumberFormat="1" applyFont="1" applyFill="1" quotePrefix="1">
      <alignment/>
      <protection/>
    </xf>
    <xf numFmtId="49" fontId="6" fillId="0" borderId="0" xfId="63" applyNumberFormat="1" applyFont="1" applyFill="1">
      <alignment/>
      <protection/>
    </xf>
    <xf numFmtId="169" fontId="6" fillId="0" borderId="0" xfId="42" applyNumberFormat="1" applyFont="1" applyAlignment="1">
      <alignment/>
    </xf>
    <xf numFmtId="169" fontId="6" fillId="0" borderId="0" xfId="42" applyNumberFormat="1" applyFont="1" applyFill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17" xfId="0" applyFont="1" applyFill="1" applyBorder="1" applyAlignment="1">
      <alignment/>
    </xf>
    <xf numFmtId="0" fontId="33" fillId="0" borderId="18" xfId="0" applyFont="1" applyFill="1" applyBorder="1" applyAlignment="1">
      <alignment horizontal="center"/>
    </xf>
    <xf numFmtId="0" fontId="34" fillId="0" borderId="19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20" xfId="0" applyFont="1" applyFill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Fill="1" applyBorder="1" applyAlignment="1">
      <alignment/>
    </xf>
    <xf numFmtId="0" fontId="34" fillId="0" borderId="23" xfId="0" applyFont="1" applyBorder="1" applyAlignment="1">
      <alignment/>
    </xf>
    <xf numFmtId="0" fontId="33" fillId="0" borderId="18" xfId="0" applyFont="1" applyFill="1" applyBorder="1" applyAlignment="1">
      <alignment/>
    </xf>
    <xf numFmtId="0" fontId="34" fillId="0" borderId="24" xfId="0" applyFont="1" applyFill="1" applyBorder="1" applyAlignment="1">
      <alignment/>
    </xf>
    <xf numFmtId="0" fontId="34" fillId="0" borderId="18" xfId="0" applyFont="1" applyFill="1" applyBorder="1" applyAlignment="1">
      <alignment horizontal="left" indent="1"/>
    </xf>
    <xf numFmtId="166" fontId="6" fillId="0" borderId="0" xfId="42" applyNumberFormat="1" applyFont="1" applyBorder="1" applyAlignment="1">
      <alignment/>
    </xf>
    <xf numFmtId="37" fontId="6" fillId="0" borderId="0" xfId="42" applyNumberFormat="1" applyFont="1" applyBorder="1" applyAlignment="1" applyProtection="1">
      <alignment horizontal="center"/>
      <protection/>
    </xf>
    <xf numFmtId="173" fontId="6" fillId="0" borderId="0" xfId="0" applyNumberFormat="1" applyFont="1" applyBorder="1" applyAlignment="1">
      <alignment/>
    </xf>
    <xf numFmtId="169" fontId="6" fillId="0" borderId="0" xfId="67" applyNumberFormat="1" applyFont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64" applyNumberFormat="1" applyFont="1" applyBorder="1">
      <alignment/>
      <protection/>
    </xf>
    <xf numFmtId="37" fontId="35" fillId="0" borderId="0" xfId="42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>
      <alignment/>
    </xf>
    <xf numFmtId="41" fontId="6" fillId="0" borderId="0" xfId="67" applyNumberFormat="1" applyFont="1" applyBorder="1" applyAlignment="1">
      <alignment/>
    </xf>
    <xf numFmtId="164" fontId="9" fillId="0" borderId="11" xfId="42" applyNumberFormat="1" applyFont="1" applyBorder="1" applyAlignment="1" applyProtection="1">
      <alignment horizontal="left"/>
      <protection/>
    </xf>
    <xf numFmtId="164" fontId="9" fillId="0" borderId="11" xfId="42" applyNumberFormat="1" applyFont="1" applyBorder="1" applyAlignment="1">
      <alignment horizontal="left"/>
    </xf>
    <xf numFmtId="173" fontId="9" fillId="0" borderId="11" xfId="42" applyNumberFormat="1" applyFont="1" applyBorder="1" applyAlignment="1">
      <alignment horizontal="right"/>
    </xf>
    <xf numFmtId="5" fontId="9" fillId="0" borderId="11" xfId="42" applyNumberFormat="1" applyFont="1" applyBorder="1" applyAlignment="1">
      <alignment/>
    </xf>
    <xf numFmtId="173" fontId="9" fillId="0" borderId="11" xfId="42" applyNumberFormat="1" applyFont="1" applyBorder="1" applyAlignment="1">
      <alignment/>
    </xf>
    <xf numFmtId="169" fontId="9" fillId="0" borderId="11" xfId="67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166" fontId="6" fillId="0" borderId="0" xfId="64" applyNumberFormat="1" applyFont="1" applyBorder="1">
      <alignment/>
      <protection/>
    </xf>
    <xf numFmtId="164" fontId="9" fillId="0" borderId="14" xfId="42" applyNumberFormat="1" applyFont="1" applyBorder="1" applyAlignment="1" applyProtection="1">
      <alignment horizontal="left"/>
      <protection/>
    </xf>
    <xf numFmtId="164" fontId="9" fillId="0" borderId="14" xfId="42" applyNumberFormat="1" applyFont="1" applyBorder="1" applyAlignment="1">
      <alignment horizontal="left"/>
    </xf>
    <xf numFmtId="173" fontId="9" fillId="0" borderId="14" xfId="42" applyNumberFormat="1" applyFont="1" applyBorder="1" applyAlignment="1">
      <alignment/>
    </xf>
    <xf numFmtId="5" fontId="9" fillId="0" borderId="14" xfId="42" applyNumberFormat="1" applyFont="1" applyBorder="1" applyAlignment="1">
      <alignment/>
    </xf>
    <xf numFmtId="169" fontId="9" fillId="0" borderId="14" xfId="67" applyNumberFormat="1" applyFont="1" applyBorder="1" applyAlignment="1">
      <alignment/>
    </xf>
    <xf numFmtId="37" fontId="9" fillId="0" borderId="12" xfId="42" applyNumberFormat="1" applyFont="1" applyBorder="1" applyAlignment="1" applyProtection="1">
      <alignment horizontal="left"/>
      <protection/>
    </xf>
    <xf numFmtId="164" fontId="9" fillId="0" borderId="12" xfId="42" applyNumberFormat="1" applyFont="1" applyBorder="1" applyAlignment="1" applyProtection="1">
      <alignment horizontal="left"/>
      <protection/>
    </xf>
    <xf numFmtId="173" fontId="9" fillId="0" borderId="12" xfId="42" applyNumberFormat="1" applyFont="1" applyBorder="1" applyAlignment="1">
      <alignment/>
    </xf>
    <xf numFmtId="5" fontId="9" fillId="0" borderId="12" xfId="42" applyNumberFormat="1" applyFont="1" applyBorder="1" applyAlignment="1">
      <alignment/>
    </xf>
    <xf numFmtId="169" fontId="9" fillId="0" borderId="12" xfId="42" applyNumberFormat="1" applyFont="1" applyBorder="1" applyAlignment="1">
      <alignment/>
    </xf>
    <xf numFmtId="173" fontId="9" fillId="0" borderId="12" xfId="64" applyNumberFormat="1" applyFont="1" applyBorder="1">
      <alignment/>
      <protection/>
    </xf>
    <xf numFmtId="164" fontId="6" fillId="0" borderId="0" xfId="42" applyNumberFormat="1" applyFont="1" applyFill="1" applyBorder="1" applyAlignment="1">
      <alignment/>
    </xf>
    <xf numFmtId="37" fontId="36" fillId="0" borderId="10" xfId="42" applyNumberFormat="1" applyFont="1" applyBorder="1" applyAlignment="1" applyProtection="1">
      <alignment/>
      <protection/>
    </xf>
    <xf numFmtId="164" fontId="6" fillId="0" borderId="10" xfId="42" applyNumberFormat="1" applyFont="1" applyBorder="1" applyAlignment="1" applyProtection="1">
      <alignment horizontal="left"/>
      <protection/>
    </xf>
    <xf numFmtId="166" fontId="6" fillId="0" borderId="10" xfId="42" applyNumberFormat="1" applyFont="1" applyBorder="1" applyAlignment="1">
      <alignment/>
    </xf>
    <xf numFmtId="169" fontId="6" fillId="0" borderId="10" xfId="42" applyNumberFormat="1" applyFont="1" applyBorder="1" applyAlignment="1">
      <alignment/>
    </xf>
    <xf numFmtId="164" fontId="6" fillId="0" borderId="10" xfId="64" applyNumberFormat="1" applyFont="1" applyBorder="1">
      <alignment/>
      <protection/>
    </xf>
    <xf numFmtId="37" fontId="9" fillId="0" borderId="0" xfId="42" applyNumberFormat="1" applyFont="1" applyBorder="1" applyAlignment="1" applyProtection="1">
      <alignment horizontal="left"/>
      <protection/>
    </xf>
    <xf numFmtId="164" fontId="9" fillId="0" borderId="0" xfId="42" applyNumberFormat="1" applyFont="1" applyAlignment="1" applyProtection="1">
      <alignment horizontal="left"/>
      <protection/>
    </xf>
    <xf numFmtId="164" fontId="9" fillId="0" borderId="0" xfId="42" applyNumberFormat="1" applyFont="1" applyBorder="1" applyAlignment="1">
      <alignment/>
    </xf>
    <xf numFmtId="164" fontId="9" fillId="0" borderId="0" xfId="64" applyNumberFormat="1" applyFont="1" applyBorder="1">
      <alignment/>
      <protection/>
    </xf>
    <xf numFmtId="37" fontId="9" fillId="0" borderId="10" xfId="42" applyNumberFormat="1" applyFont="1" applyBorder="1" applyAlignment="1" applyProtection="1">
      <alignment horizontal="left"/>
      <protection/>
    </xf>
    <xf numFmtId="164" fontId="9" fillId="0" borderId="10" xfId="42" applyNumberFormat="1" applyFont="1" applyBorder="1" applyAlignment="1" applyProtection="1">
      <alignment horizontal="left"/>
      <protection/>
    </xf>
    <xf numFmtId="37" fontId="9" fillId="0" borderId="25" xfId="42" applyNumberFormat="1" applyFont="1" applyBorder="1" applyAlignment="1" applyProtection="1">
      <alignment horizontal="left"/>
      <protection/>
    </xf>
    <xf numFmtId="164" fontId="9" fillId="0" borderId="25" xfId="42" applyNumberFormat="1" applyFont="1" applyBorder="1" applyAlignment="1" applyProtection="1">
      <alignment horizontal="left"/>
      <protection/>
    </xf>
    <xf numFmtId="173" fontId="9" fillId="0" borderId="25" xfId="64" applyNumberFormat="1" applyFont="1" applyBorder="1">
      <alignment/>
      <protection/>
    </xf>
    <xf numFmtId="41" fontId="6" fillId="0" borderId="0" xfId="0" applyNumberFormat="1" applyFont="1" applyFill="1" applyBorder="1" applyAlignment="1">
      <alignment/>
    </xf>
    <xf numFmtId="166" fontId="10" fillId="0" borderId="0" xfId="42" applyNumberFormat="1" applyFont="1" applyBorder="1" applyAlignment="1">
      <alignment/>
    </xf>
    <xf numFmtId="167" fontId="10" fillId="0" borderId="0" xfId="42" applyNumberFormat="1" applyFont="1" applyBorder="1" applyAlignment="1">
      <alignment/>
    </xf>
    <xf numFmtId="166" fontId="6" fillId="0" borderId="0" xfId="42" applyNumberFormat="1" applyFont="1" applyAlignment="1" quotePrefix="1">
      <alignment/>
    </xf>
    <xf numFmtId="0" fontId="6" fillId="0" borderId="0" xfId="63" applyFont="1" applyBorder="1" applyAlignment="1">
      <alignment/>
      <protection/>
    </xf>
    <xf numFmtId="0" fontId="28" fillId="0" borderId="0" xfId="63" applyFont="1" applyBorder="1" applyAlignment="1">
      <alignment horizontal="centerContinuous"/>
      <protection/>
    </xf>
    <xf numFmtId="173" fontId="6" fillId="0" borderId="0" xfId="45" applyNumberFormat="1" applyFont="1" applyBorder="1" applyAlignment="1" applyProtection="1">
      <alignment horizontal="right"/>
      <protection/>
    </xf>
    <xf numFmtId="169" fontId="20" fillId="0" borderId="0" xfId="67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43" fontId="8" fillId="0" borderId="0" xfId="0" applyNumberFormat="1" applyFont="1" applyFill="1" applyAlignment="1">
      <alignment horizontal="right"/>
    </xf>
    <xf numFmtId="169" fontId="0" fillId="0" borderId="13" xfId="0" applyNumberFormat="1" applyFont="1" applyBorder="1" applyAlignment="1">
      <alignment/>
    </xf>
    <xf numFmtId="0" fontId="23" fillId="0" borderId="0" xfId="0" applyFont="1" applyFill="1" applyAlignment="1">
      <alignment/>
    </xf>
    <xf numFmtId="164" fontId="6" fillId="0" borderId="0" xfId="58" applyNumberFormat="1" applyFont="1" applyFill="1" applyAlignment="1">
      <alignment/>
      <protection/>
    </xf>
    <xf numFmtId="164" fontId="6" fillId="0" borderId="0" xfId="42" applyNumberFormat="1" applyFont="1" applyFill="1" applyAlignment="1">
      <alignment horizontal="right"/>
    </xf>
    <xf numFmtId="174" fontId="6" fillId="0" borderId="0" xfId="42" applyNumberFormat="1" applyFont="1" applyAlignment="1">
      <alignment/>
    </xf>
    <xf numFmtId="173" fontId="6" fillId="0" borderId="0" xfId="42" applyNumberFormat="1" applyFont="1" applyAlignment="1">
      <alignment/>
    </xf>
    <xf numFmtId="173" fontId="6" fillId="0" borderId="0" xfId="42" applyNumberFormat="1" applyFont="1" applyFill="1" applyBorder="1" applyAlignment="1">
      <alignment/>
    </xf>
    <xf numFmtId="0" fontId="6" fillId="0" borderId="0" xfId="63" applyFont="1" applyBorder="1" applyAlignment="1">
      <alignment horizontal="center"/>
      <protection/>
    </xf>
    <xf numFmtId="0" fontId="41" fillId="0" borderId="0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164" fontId="2" fillId="0" borderId="0" xfId="42" applyNumberFormat="1" applyFont="1" applyAlignment="1">
      <alignment/>
    </xf>
    <xf numFmtId="164" fontId="4" fillId="0" borderId="0" xfId="42" applyNumberFormat="1" applyFont="1" applyAlignment="1">
      <alignment/>
    </xf>
    <xf numFmtId="164" fontId="5" fillId="0" borderId="0" xfId="42" applyNumberFormat="1" applyFont="1" applyAlignment="1">
      <alignment/>
    </xf>
    <xf numFmtId="164" fontId="7" fillId="0" borderId="0" xfId="42" applyNumberFormat="1" applyFont="1" applyAlignment="1">
      <alignment/>
    </xf>
    <xf numFmtId="164" fontId="8" fillId="0" borderId="10" xfId="42" applyNumberFormat="1" applyFont="1" applyBorder="1" applyAlignment="1">
      <alignment/>
    </xf>
    <xf numFmtId="164" fontId="8" fillId="0" borderId="0" xfId="42" applyNumberFormat="1" applyFont="1" applyAlignment="1">
      <alignment/>
    </xf>
    <xf numFmtId="164" fontId="24" fillId="0" borderId="0" xfId="60" applyNumberFormat="1" applyFont="1">
      <alignment/>
      <protection/>
    </xf>
    <xf numFmtId="5" fontId="24" fillId="0" borderId="0" xfId="42" applyNumberFormat="1" applyFont="1" applyAlignment="1">
      <alignment/>
    </xf>
    <xf numFmtId="164" fontId="7" fillId="0" borderId="26" xfId="60" applyNumberFormat="1" applyFont="1" applyBorder="1">
      <alignment/>
      <protection/>
    </xf>
    <xf numFmtId="37" fontId="8" fillId="0" borderId="26" xfId="42" applyNumberFormat="1" applyFont="1" applyBorder="1" applyAlignment="1">
      <alignment/>
    </xf>
    <xf numFmtId="164" fontId="8" fillId="0" borderId="0" xfId="42" applyNumberFormat="1" applyFont="1" applyBorder="1" applyAlignment="1">
      <alignment/>
    </xf>
    <xf numFmtId="37" fontId="8" fillId="0" borderId="13" xfId="42" applyNumberFormat="1" applyFont="1" applyBorder="1" applyAlignment="1">
      <alignment horizontal="center"/>
    </xf>
    <xf numFmtId="164" fontId="8" fillId="0" borderId="13" xfId="42" applyNumberFormat="1" applyFont="1" applyBorder="1" applyAlignment="1">
      <alignment/>
    </xf>
    <xf numFmtId="37" fontId="8" fillId="0" borderId="0" xfId="42" applyNumberFormat="1" applyFont="1" applyBorder="1" applyAlignment="1">
      <alignment horizontal="center"/>
    </xf>
    <xf numFmtId="164" fontId="8" fillId="0" borderId="0" xfId="42" applyNumberFormat="1" applyFont="1" applyBorder="1" applyAlignment="1">
      <alignment horizontal="center"/>
    </xf>
    <xf numFmtId="37" fontId="8" fillId="0" borderId="0" xfId="42" applyNumberFormat="1" applyFont="1" applyBorder="1" applyAlignment="1">
      <alignment horizontal="center" vertical="top"/>
    </xf>
    <xf numFmtId="164" fontId="8" fillId="0" borderId="0" xfId="42" applyNumberFormat="1" applyFont="1" applyBorder="1" applyAlignment="1">
      <alignment horizontal="right" vertical="top"/>
    </xf>
    <xf numFmtId="5" fontId="8" fillId="0" borderId="0" xfId="42" applyNumberFormat="1" applyFont="1" applyAlignment="1">
      <alignment/>
    </xf>
    <xf numFmtId="37" fontId="24" fillId="0" borderId="0" xfId="42" applyNumberFormat="1" applyFont="1" applyAlignment="1">
      <alignment horizontal="right"/>
    </xf>
    <xf numFmtId="164" fontId="6" fillId="0" borderId="0" xfId="60" applyNumberFormat="1" applyFont="1" applyAlignment="1" applyProtection="1">
      <alignment horizontal="center"/>
      <protection/>
    </xf>
    <xf numFmtId="164" fontId="8" fillId="0" borderId="0" xfId="60" applyNumberFormat="1" applyFont="1" applyAlignment="1" applyProtection="1" quotePrefix="1">
      <alignment horizontal="left"/>
      <protection/>
    </xf>
    <xf numFmtId="177" fontId="8" fillId="0" borderId="0" xfId="60" applyNumberFormat="1" applyFont="1" applyAlignment="1">
      <alignment horizontal="right"/>
      <protection/>
    </xf>
    <xf numFmtId="164" fontId="24" fillId="0" borderId="12" xfId="60" applyNumberFormat="1" applyFont="1" applyBorder="1">
      <alignment/>
      <protection/>
    </xf>
    <xf numFmtId="5" fontId="24" fillId="0" borderId="12" xfId="42" applyNumberFormat="1" applyFont="1" applyBorder="1" applyAlignment="1">
      <alignment/>
    </xf>
    <xf numFmtId="37" fontId="10" fillId="0" borderId="0" xfId="42" applyNumberFormat="1" applyFont="1" applyAlignment="1">
      <alignment horizontal="left"/>
    </xf>
    <xf numFmtId="37" fontId="24" fillId="0" borderId="0" xfId="42" applyNumberFormat="1" applyFont="1" applyBorder="1" applyAlignment="1">
      <alignment/>
    </xf>
    <xf numFmtId="0" fontId="25" fillId="0" borderId="0" xfId="62" applyFont="1" applyAlignment="1">
      <alignment horizontal="left"/>
      <protection/>
    </xf>
    <xf numFmtId="0" fontId="10" fillId="0" borderId="0" xfId="62" applyFont="1" applyFill="1" applyAlignment="1">
      <alignment horizontal="left"/>
      <protection/>
    </xf>
    <xf numFmtId="0" fontId="25" fillId="0" borderId="0" xfId="62" applyFont="1" applyFill="1" applyAlignment="1" quotePrefix="1">
      <alignment horizontal="left"/>
      <protection/>
    </xf>
    <xf numFmtId="0" fontId="9" fillId="0" borderId="0" xfId="62" applyFont="1" applyAlignment="1">
      <alignment horizontal="left"/>
      <protection/>
    </xf>
    <xf numFmtId="167" fontId="9" fillId="0" borderId="0" xfId="42" applyNumberFormat="1" applyFont="1" applyAlignment="1">
      <alignment horizontal="left"/>
    </xf>
    <xf numFmtId="164" fontId="9" fillId="0" borderId="0" xfId="45" applyNumberFormat="1" applyFont="1" applyBorder="1" applyAlignment="1">
      <alignment horizontal="right" readingOrder="1"/>
    </xf>
    <xf numFmtId="41" fontId="6" fillId="0" borderId="0" xfId="42" applyNumberFormat="1" applyFont="1" applyFill="1" applyBorder="1" applyAlignment="1">
      <alignment/>
    </xf>
    <xf numFmtId="41" fontId="6" fillId="0" borderId="0" xfId="42" applyNumberFormat="1" applyFont="1" applyFill="1" applyAlignment="1">
      <alignment horizontal="center"/>
    </xf>
    <xf numFmtId="176" fontId="6" fillId="0" borderId="0" xfId="64" applyNumberFormat="1" applyFont="1" applyBorder="1" applyAlignment="1">
      <alignment horizont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0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1" fontId="10" fillId="0" borderId="0" xfId="58" applyNumberFormat="1" applyFont="1" applyAlignment="1">
      <alignment horizontal="center"/>
      <protection/>
    </xf>
    <xf numFmtId="167" fontId="6" fillId="0" borderId="0" xfId="42" applyNumberFormat="1" applyFont="1" applyBorder="1" applyAlignment="1">
      <alignment/>
    </xf>
    <xf numFmtId="0" fontId="8" fillId="0" borderId="0" xfId="59" applyFont="1" applyBorder="1">
      <alignment/>
      <protection/>
    </xf>
    <xf numFmtId="166" fontId="6" fillId="33" borderId="0" xfId="42" applyNumberFormat="1" applyFont="1" applyFill="1" applyAlignment="1">
      <alignment/>
    </xf>
    <xf numFmtId="37" fontId="45" fillId="0" borderId="0" xfId="42" applyNumberFormat="1" applyFont="1" applyAlignment="1">
      <alignment horizontal="left"/>
    </xf>
    <xf numFmtId="0" fontId="0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37" fontId="8" fillId="0" borderId="0" xfId="42" applyNumberFormat="1" applyFont="1" applyAlignment="1">
      <alignment horizontal="left"/>
    </xf>
    <xf numFmtId="5" fontId="24" fillId="0" borderId="14" xfId="42" applyNumberFormat="1" applyFont="1" applyBorder="1" applyAlignment="1">
      <alignment/>
    </xf>
    <xf numFmtId="5" fontId="8" fillId="0" borderId="0" xfId="42" applyNumberFormat="1" applyFont="1" applyFill="1" applyAlignment="1">
      <alignment/>
    </xf>
    <xf numFmtId="0" fontId="6" fillId="0" borderId="0" xfId="63" applyFont="1" applyFill="1">
      <alignment/>
      <protection/>
    </xf>
    <xf numFmtId="166" fontId="6" fillId="33" borderId="0" xfId="42" applyNumberFormat="1" applyFont="1" applyFill="1" applyAlignment="1">
      <alignment horizontal="center"/>
    </xf>
    <xf numFmtId="166" fontId="6" fillId="33" borderId="0" xfId="42" applyNumberFormat="1" applyFont="1" applyFill="1" applyBorder="1" applyAlignment="1">
      <alignment horizontal="center"/>
    </xf>
    <xf numFmtId="166" fontId="6" fillId="33" borderId="10" xfId="42" applyNumberFormat="1" applyFont="1" applyFill="1" applyBorder="1" applyAlignment="1">
      <alignment horizontal="right"/>
    </xf>
    <xf numFmtId="173" fontId="6" fillId="0" borderId="0" xfId="45" applyNumberFormat="1" applyFont="1" applyAlignment="1">
      <alignment horizontal="right" readingOrder="1"/>
    </xf>
    <xf numFmtId="37" fontId="8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37" fontId="6" fillId="0" borderId="0" xfId="42" applyNumberFormat="1" applyFont="1" applyFill="1" applyAlignment="1" applyProtection="1">
      <alignment horizontal="center"/>
      <protection/>
    </xf>
    <xf numFmtId="176" fontId="6" fillId="0" borderId="0" xfId="42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164" fontId="6" fillId="0" borderId="0" xfId="58" applyNumberFormat="1" applyFont="1" applyFill="1" applyAlignment="1" applyProtection="1" quotePrefix="1">
      <alignment horizontal="right"/>
      <protection/>
    </xf>
    <xf numFmtId="173" fontId="9" fillId="0" borderId="25" xfId="42" applyNumberFormat="1" applyFont="1" applyBorder="1" applyAlignment="1">
      <alignment/>
    </xf>
    <xf numFmtId="164" fontId="6" fillId="0" borderId="0" xfId="42" applyNumberFormat="1" applyFont="1" applyFill="1" applyBorder="1" applyAlignment="1" applyProtection="1">
      <alignment horizontal="left"/>
      <protection/>
    </xf>
    <xf numFmtId="0" fontId="8" fillId="0" borderId="0" xfId="63" applyFont="1" applyFill="1">
      <alignment/>
      <protection/>
    </xf>
    <xf numFmtId="0" fontId="6" fillId="0" borderId="0" xfId="63" applyFont="1" applyFill="1" applyAlignment="1">
      <alignment horizontal="right"/>
      <protection/>
    </xf>
    <xf numFmtId="0" fontId="8" fillId="0" borderId="0" xfId="59" applyFont="1" applyFill="1">
      <alignment/>
      <protection/>
    </xf>
    <xf numFmtId="0" fontId="8" fillId="0" borderId="0" xfId="63" applyFont="1" applyFill="1" applyAlignment="1">
      <alignment horizontal="right"/>
      <protection/>
    </xf>
    <xf numFmtId="0" fontId="10" fillId="0" borderId="0" xfId="64" applyFont="1" applyFill="1" applyBorder="1">
      <alignment/>
      <protection/>
    </xf>
    <xf numFmtId="166" fontId="6" fillId="0" borderId="0" xfId="42" applyNumberFormat="1" applyFont="1" applyFill="1" applyAlignment="1">
      <alignment horizontal="center"/>
    </xf>
    <xf numFmtId="169" fontId="9" fillId="0" borderId="0" xfId="67" applyNumberFormat="1" applyFont="1" applyBorder="1" applyAlignment="1">
      <alignment/>
    </xf>
    <xf numFmtId="169" fontId="9" fillId="0" borderId="25" xfId="67" applyNumberFormat="1" applyFont="1" applyBorder="1" applyAlignment="1">
      <alignment/>
    </xf>
    <xf numFmtId="5" fontId="6" fillId="0" borderId="0" xfId="60" applyNumberFormat="1" applyFont="1" applyAlignment="1">
      <alignment horizontal="right"/>
      <protection/>
    </xf>
    <xf numFmtId="5" fontId="6" fillId="0" borderId="0" xfId="42" applyNumberFormat="1" applyFont="1" applyAlignment="1">
      <alignment/>
    </xf>
    <xf numFmtId="5" fontId="21" fillId="0" borderId="0" xfId="60" applyNumberFormat="1" applyFont="1">
      <alignment/>
      <protection/>
    </xf>
    <xf numFmtId="5" fontId="6" fillId="0" borderId="11" xfId="42" applyNumberFormat="1" applyFont="1" applyBorder="1" applyAlignment="1">
      <alignment/>
    </xf>
    <xf numFmtId="173" fontId="6" fillId="0" borderId="0" xfId="58" applyNumberFormat="1" applyFont="1" applyFill="1" applyAlignment="1" applyProtection="1">
      <alignment horizontal="right"/>
      <protection/>
    </xf>
    <xf numFmtId="173" fontId="6" fillId="0" borderId="0" xfId="58" applyNumberFormat="1" applyFont="1" applyAlignment="1" applyProtection="1">
      <alignment horizontal="right"/>
      <protection/>
    </xf>
    <xf numFmtId="173" fontId="6" fillId="0" borderId="0" xfId="42" applyNumberFormat="1" applyFont="1" applyAlignment="1">
      <alignment horizontal="right"/>
    </xf>
    <xf numFmtId="173" fontId="6" fillId="0" borderId="0" xfId="42" applyNumberFormat="1" applyFont="1" applyFill="1" applyAlignment="1">
      <alignment horizontal="right"/>
    </xf>
    <xf numFmtId="173" fontId="6" fillId="0" borderId="0" xfId="58" applyNumberFormat="1" applyFont="1" applyAlignment="1">
      <alignment horizontal="right"/>
      <protection/>
    </xf>
    <xf numFmtId="173" fontId="6" fillId="0" borderId="0" xfId="58" applyNumberFormat="1" applyFont="1" applyFill="1" applyAlignment="1">
      <alignment horizontal="right"/>
      <protection/>
    </xf>
    <xf numFmtId="173" fontId="6" fillId="0" borderId="0" xfId="45" applyNumberFormat="1" applyFont="1" applyFill="1" applyAlignment="1" applyProtection="1">
      <alignment horizontal="right"/>
      <protection/>
    </xf>
    <xf numFmtId="173" fontId="6" fillId="0" borderId="14" xfId="45" applyNumberFormat="1" applyFont="1" applyBorder="1" applyAlignment="1">
      <alignment horizontal="right" readingOrder="1"/>
    </xf>
    <xf numFmtId="167" fontId="6" fillId="0" borderId="13" xfId="42" applyNumberFormat="1" applyFont="1" applyBorder="1" applyAlignment="1">
      <alignment horizontal="center"/>
    </xf>
    <xf numFmtId="166" fontId="6" fillId="0" borderId="0" xfId="58" applyNumberFormat="1" applyFont="1" applyAlignment="1">
      <alignment horizontal="right"/>
      <protection/>
    </xf>
    <xf numFmtId="0" fontId="6" fillId="0" borderId="0" xfId="42" applyNumberFormat="1" applyFont="1" applyAlignment="1" applyProtection="1">
      <alignment horizontal="center"/>
      <protection/>
    </xf>
    <xf numFmtId="0" fontId="6" fillId="0" borderId="0" xfId="42" applyNumberFormat="1" applyFont="1" applyFill="1" applyAlignment="1" applyProtection="1">
      <alignment horizontal="center"/>
      <protection/>
    </xf>
    <xf numFmtId="0" fontId="6" fillId="0" borderId="15" xfId="42" applyNumberFormat="1" applyFont="1" applyBorder="1" applyAlignment="1" applyProtection="1">
      <alignment horizontal="center"/>
      <protection/>
    </xf>
    <xf numFmtId="37" fontId="8" fillId="0" borderId="0" xfId="42" applyNumberFormat="1" applyFont="1" applyAlignment="1">
      <alignment horizontal="center"/>
    </xf>
    <xf numFmtId="176" fontId="8" fillId="0" borderId="0" xfId="42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58" applyNumberFormat="1" applyFont="1" applyFill="1" applyAlignment="1" applyProtection="1">
      <alignment horizontal="left"/>
      <protection/>
    </xf>
    <xf numFmtId="1" fontId="6" fillId="0" borderId="0" xfId="58" applyNumberFormat="1" applyFont="1" applyAlignment="1" applyProtection="1" quotePrefix="1">
      <alignment horizontal="center"/>
      <protection/>
    </xf>
    <xf numFmtId="1" fontId="6" fillId="0" borderId="0" xfId="58" applyNumberFormat="1" applyFont="1" applyFill="1" applyAlignment="1" applyProtection="1" quotePrefix="1">
      <alignment horizontal="center"/>
      <protection/>
    </xf>
    <xf numFmtId="1" fontId="6" fillId="0" borderId="0" xfId="58" applyNumberFormat="1" applyFont="1" applyFill="1" applyAlignment="1">
      <alignment horizontal="center"/>
      <protection/>
    </xf>
    <xf numFmtId="1" fontId="6" fillId="0" borderId="0" xfId="58" applyNumberFormat="1" applyFont="1" applyAlignment="1">
      <alignment horizontal="center"/>
      <protection/>
    </xf>
    <xf numFmtId="1" fontId="6" fillId="0" borderId="0" xfId="58" applyNumberFormat="1" applyFont="1" applyAlignment="1">
      <alignment horizontal="center"/>
      <protection/>
    </xf>
    <xf numFmtId="1" fontId="6" fillId="0" borderId="0" xfId="58" applyNumberFormat="1" applyFont="1" applyFill="1" applyAlignment="1" applyProtection="1">
      <alignment horizontal="center"/>
      <protection/>
    </xf>
    <xf numFmtId="1" fontId="6" fillId="0" borderId="0" xfId="58" applyNumberFormat="1" applyFont="1" applyFill="1" applyAlignment="1" quotePrefix="1">
      <alignment horizontal="center"/>
      <protection/>
    </xf>
    <xf numFmtId="1" fontId="9" fillId="0" borderId="0" xfId="58" applyNumberFormat="1" applyFont="1" applyAlignment="1" applyProtection="1" quotePrefix="1">
      <alignment horizontal="left"/>
      <protection/>
    </xf>
    <xf numFmtId="164" fontId="9" fillId="0" borderId="14" xfId="58" applyNumberFormat="1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 horizontal="left"/>
    </xf>
    <xf numFmtId="164" fontId="6" fillId="0" borderId="14" xfId="58" applyNumberFormat="1" applyFont="1" applyFill="1" applyBorder="1" applyAlignment="1" applyProtection="1" quotePrefix="1">
      <alignment horizontal="left"/>
      <protection/>
    </xf>
    <xf numFmtId="164" fontId="6" fillId="0" borderId="14" xfId="58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>
      <alignment horizontal="left"/>
    </xf>
    <xf numFmtId="164" fontId="6" fillId="0" borderId="14" xfId="58" applyNumberFormat="1" applyFont="1" applyBorder="1" applyAlignment="1" applyProtection="1">
      <alignment horizontal="left"/>
      <protection/>
    </xf>
    <xf numFmtId="0" fontId="37" fillId="0" borderId="0" xfId="0" applyFont="1" applyBorder="1" applyAlignment="1">
      <alignment horizontal="center"/>
    </xf>
    <xf numFmtId="164" fontId="8" fillId="0" borderId="0" xfId="42" applyNumberFormat="1" applyFont="1" applyAlignment="1">
      <alignment horizontal="center"/>
    </xf>
    <xf numFmtId="176" fontId="8" fillId="0" borderId="0" xfId="42" applyNumberFormat="1" applyFont="1" applyAlignment="1">
      <alignment horizontal="center"/>
    </xf>
    <xf numFmtId="0" fontId="8" fillId="0" borderId="0" xfId="42" applyNumberFormat="1" applyFont="1" applyAlignment="1">
      <alignment horizontal="left"/>
    </xf>
    <xf numFmtId="0" fontId="8" fillId="0" borderId="0" xfId="42" applyNumberFormat="1" applyFont="1" applyFill="1" applyAlignment="1">
      <alignment horizontal="left"/>
    </xf>
    <xf numFmtId="0" fontId="8" fillId="0" borderId="0" xfId="42" applyNumberFormat="1" applyFont="1" applyAlignment="1">
      <alignment horizontal="left"/>
    </xf>
    <xf numFmtId="41" fontId="46" fillId="0" borderId="0" xfId="0" applyNumberFormat="1" applyFont="1" applyFill="1" applyAlignment="1">
      <alignment/>
    </xf>
    <xf numFmtId="41" fontId="46" fillId="0" borderId="0" xfId="0" applyNumberFormat="1" applyFont="1" applyFill="1" applyAlignment="1">
      <alignment horizontal="center"/>
    </xf>
    <xf numFmtId="215" fontId="46" fillId="0" borderId="0" xfId="0" applyNumberFormat="1" applyFont="1" applyFill="1" applyAlignment="1">
      <alignment/>
    </xf>
    <xf numFmtId="41" fontId="47" fillId="0" borderId="0" xfId="0" applyNumberFormat="1" applyFont="1" applyFill="1" applyAlignment="1">
      <alignment/>
    </xf>
    <xf numFmtId="41" fontId="47" fillId="0" borderId="13" xfId="0" applyNumberFormat="1" applyFont="1" applyFill="1" applyBorder="1" applyAlignment="1">
      <alignment/>
    </xf>
    <xf numFmtId="41" fontId="46" fillId="0" borderId="13" xfId="0" applyNumberFormat="1" applyFont="1" applyFill="1" applyBorder="1" applyAlignment="1">
      <alignment horizontal="center"/>
    </xf>
    <xf numFmtId="215" fontId="47" fillId="0" borderId="13" xfId="42" applyNumberFormat="1" applyFont="1" applyFill="1" applyBorder="1" applyAlignment="1">
      <alignment horizontal="right"/>
    </xf>
    <xf numFmtId="215" fontId="46" fillId="0" borderId="13" xfId="42" applyNumberFormat="1" applyFont="1" applyFill="1" applyBorder="1" applyAlignment="1">
      <alignment/>
    </xf>
    <xf numFmtId="41" fontId="46" fillId="0" borderId="0" xfId="0" applyNumberFormat="1" applyFont="1" applyFill="1" applyBorder="1" applyAlignment="1">
      <alignment/>
    </xf>
    <xf numFmtId="41" fontId="46" fillId="0" borderId="0" xfId="0" applyNumberFormat="1" applyFont="1" applyFill="1" applyBorder="1" applyAlignment="1">
      <alignment horizontal="center"/>
    </xf>
    <xf numFmtId="215" fontId="46" fillId="0" borderId="0" xfId="42" applyNumberFormat="1" applyFont="1" applyFill="1" applyBorder="1" applyAlignment="1">
      <alignment/>
    </xf>
    <xf numFmtId="41" fontId="46" fillId="0" borderId="10" xfId="0" applyNumberFormat="1" applyFont="1" applyFill="1" applyBorder="1" applyAlignment="1">
      <alignment horizontal="center"/>
    </xf>
    <xf numFmtId="215" fontId="46" fillId="0" borderId="10" xfId="42" applyNumberFormat="1" applyFont="1" applyFill="1" applyBorder="1" applyAlignment="1">
      <alignment/>
    </xf>
    <xf numFmtId="41" fontId="47" fillId="0" borderId="10" xfId="0" applyNumberFormat="1" applyFont="1" applyFill="1" applyBorder="1" applyAlignment="1">
      <alignment/>
    </xf>
    <xf numFmtId="41" fontId="51" fillId="0" borderId="0" xfId="0" applyNumberFormat="1" applyFont="1" applyFill="1" applyBorder="1" applyAlignment="1">
      <alignment horizontal="center"/>
    </xf>
    <xf numFmtId="41" fontId="47" fillId="0" borderId="0" xfId="0" applyNumberFormat="1" applyFont="1" applyFill="1" applyBorder="1" applyAlignment="1">
      <alignment/>
    </xf>
    <xf numFmtId="215" fontId="47" fillId="0" borderId="0" xfId="42" applyNumberFormat="1" applyFont="1" applyFill="1" applyBorder="1" applyAlignment="1">
      <alignment/>
    </xf>
    <xf numFmtId="41" fontId="47" fillId="0" borderId="14" xfId="0" applyNumberFormat="1" applyFont="1" applyFill="1" applyBorder="1" applyAlignment="1">
      <alignment/>
    </xf>
    <xf numFmtId="41" fontId="46" fillId="0" borderId="14" xfId="0" applyNumberFormat="1" applyFont="1" applyFill="1" applyBorder="1" applyAlignment="1">
      <alignment horizontal="center"/>
    </xf>
    <xf numFmtId="215" fontId="46" fillId="0" borderId="0" xfId="0" applyNumberFormat="1" applyFont="1" applyFill="1" applyBorder="1" applyAlignment="1">
      <alignment/>
    </xf>
    <xf numFmtId="215" fontId="46" fillId="0" borderId="0" xfId="0" applyNumberFormat="1" applyFont="1" applyBorder="1" applyAlignment="1">
      <alignment/>
    </xf>
    <xf numFmtId="215" fontId="48" fillId="0" borderId="0" xfId="0" applyNumberFormat="1" applyFont="1" applyBorder="1" applyAlignment="1">
      <alignment/>
    </xf>
    <xf numFmtId="41" fontId="46" fillId="0" borderId="0" xfId="0" applyNumberFormat="1" applyFont="1" applyFill="1" applyAlignment="1">
      <alignment/>
    </xf>
    <xf numFmtId="215" fontId="48" fillId="0" borderId="0" xfId="0" applyNumberFormat="1" applyFont="1" applyFill="1" applyBorder="1" applyAlignment="1">
      <alignment/>
    </xf>
    <xf numFmtId="41" fontId="52" fillId="0" borderId="30" xfId="42" applyNumberFormat="1" applyFont="1" applyFill="1" applyBorder="1" applyAlignment="1">
      <alignment horizontal="center"/>
    </xf>
    <xf numFmtId="215" fontId="106" fillId="0" borderId="30" xfId="42" applyNumberFormat="1" applyFont="1" applyFill="1" applyBorder="1" applyAlignment="1">
      <alignment/>
    </xf>
    <xf numFmtId="41" fontId="46" fillId="0" borderId="0" xfId="42" applyNumberFormat="1" applyFont="1" applyFill="1" applyAlignment="1">
      <alignment/>
    </xf>
    <xf numFmtId="41" fontId="52" fillId="0" borderId="0" xfId="42" applyNumberFormat="1" applyFont="1" applyFill="1" applyBorder="1" applyAlignment="1">
      <alignment horizontal="center"/>
    </xf>
    <xf numFmtId="215" fontId="106" fillId="0" borderId="0" xfId="42" applyNumberFormat="1" applyFont="1" applyFill="1" applyBorder="1" applyAlignment="1">
      <alignment/>
    </xf>
    <xf numFmtId="41" fontId="52" fillId="0" borderId="0" xfId="0" applyNumberFormat="1" applyFont="1" applyFill="1" applyBorder="1" applyAlignment="1">
      <alignment horizontal="center"/>
    </xf>
    <xf numFmtId="41" fontId="52" fillId="0" borderId="10" xfId="0" applyNumberFormat="1" applyFont="1" applyFill="1" applyBorder="1" applyAlignment="1">
      <alignment horizontal="center"/>
    </xf>
    <xf numFmtId="215" fontId="106" fillId="0" borderId="10" xfId="42" applyNumberFormat="1" applyFont="1" applyFill="1" applyBorder="1" applyAlignment="1">
      <alignment/>
    </xf>
    <xf numFmtId="41" fontId="47" fillId="0" borderId="31" xfId="0" applyNumberFormat="1" applyFont="1" applyFill="1" applyBorder="1" applyAlignment="1">
      <alignment/>
    </xf>
    <xf numFmtId="41" fontId="52" fillId="0" borderId="31" xfId="0" applyNumberFormat="1" applyFont="1" applyFill="1" applyBorder="1" applyAlignment="1">
      <alignment horizontal="center"/>
    </xf>
    <xf numFmtId="218" fontId="46" fillId="0" borderId="13" xfId="42" applyNumberFormat="1" applyFont="1" applyFill="1" applyBorder="1" applyAlignment="1">
      <alignment/>
    </xf>
    <xf numFmtId="218" fontId="46" fillId="0" borderId="0" xfId="42" applyNumberFormat="1" applyFont="1" applyFill="1" applyBorder="1" applyAlignment="1">
      <alignment/>
    </xf>
    <xf numFmtId="218" fontId="106" fillId="0" borderId="0" xfId="42" applyNumberFormat="1" applyFont="1" applyFill="1" applyBorder="1" applyAlignment="1">
      <alignment/>
    </xf>
    <xf numFmtId="218" fontId="46" fillId="0" borderId="10" xfId="42" applyNumberFormat="1" applyFont="1" applyFill="1" applyBorder="1" applyAlignment="1">
      <alignment/>
    </xf>
    <xf numFmtId="167" fontId="9" fillId="0" borderId="0" xfId="44" applyNumberFormat="1" applyFont="1" applyAlignment="1">
      <alignment horizontal="left"/>
    </xf>
    <xf numFmtId="164" fontId="6" fillId="0" borderId="0" xfId="45" applyNumberFormat="1" applyFont="1" applyBorder="1" applyAlignment="1">
      <alignment horizontal="right" readingOrder="1"/>
    </xf>
    <xf numFmtId="173" fontId="9" fillId="0" borderId="14" xfId="45" applyNumberFormat="1" applyFont="1" applyBorder="1" applyAlignment="1">
      <alignment horizontal="right" readingOrder="1"/>
    </xf>
    <xf numFmtId="164" fontId="6" fillId="0" borderId="0" xfId="58" applyNumberFormat="1" applyFont="1" applyFill="1" applyAlignment="1">
      <alignment horizontal="left"/>
      <protection/>
    </xf>
    <xf numFmtId="164" fontId="6" fillId="0" borderId="0" xfId="58" applyNumberFormat="1" applyFont="1" applyAlignment="1" applyProtection="1">
      <alignment horizontal="left"/>
      <protection/>
    </xf>
    <xf numFmtId="164" fontId="6" fillId="0" borderId="0" xfId="58" applyNumberFormat="1" applyFont="1" applyFill="1" applyAlignment="1" quotePrefix="1">
      <alignment horizontal="left"/>
      <protection/>
    </xf>
    <xf numFmtId="169" fontId="23" fillId="0" borderId="10" xfId="0" applyNumberFormat="1" applyFont="1" applyBorder="1" applyAlignment="1">
      <alignment/>
    </xf>
    <xf numFmtId="1" fontId="6" fillId="0" borderId="0" xfId="42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7" fillId="0" borderId="0" xfId="0" applyFont="1" applyAlignment="1">
      <alignment/>
    </xf>
    <xf numFmtId="0" fontId="23" fillId="0" borderId="0" xfId="0" applyFont="1" applyAlignment="1">
      <alignment horizontal="left"/>
    </xf>
    <xf numFmtId="0" fontId="29" fillId="0" borderId="32" xfId="0" applyFont="1" applyBorder="1" applyAlignment="1">
      <alignment horizontal="left"/>
    </xf>
    <xf numFmtId="0" fontId="29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23" fillId="0" borderId="3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37" fillId="0" borderId="3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8" fillId="0" borderId="34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35" xfId="0" applyFont="1" applyBorder="1" applyAlignment="1">
      <alignment horizontal="center"/>
    </xf>
    <xf numFmtId="0" fontId="58" fillId="0" borderId="34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58" fillId="0" borderId="34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left"/>
    </xf>
    <xf numFmtId="0" fontId="58" fillId="0" borderId="36" xfId="0" applyFont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36" xfId="0" applyFont="1" applyFill="1" applyBorder="1" applyAlignment="1">
      <alignment horizontal="center"/>
    </xf>
    <xf numFmtId="0" fontId="58" fillId="0" borderId="37" xfId="0" applyFont="1" applyFill="1" applyBorder="1" applyAlignment="1">
      <alignment horizontal="center"/>
    </xf>
    <xf numFmtId="0" fontId="37" fillId="0" borderId="32" xfId="0" applyFont="1" applyBorder="1" applyAlignment="1">
      <alignment horizontal="left"/>
    </xf>
    <xf numFmtId="0" fontId="37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left"/>
    </xf>
    <xf numFmtId="0" fontId="23" fillId="0" borderId="32" xfId="0" applyFont="1" applyBorder="1" applyAlignment="1">
      <alignment/>
    </xf>
    <xf numFmtId="0" fontId="23" fillId="0" borderId="13" xfId="0" applyFont="1" applyBorder="1" applyAlignment="1">
      <alignment/>
    </xf>
    <xf numFmtId="0" fontId="37" fillId="0" borderId="33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 horizontal="left"/>
    </xf>
    <xf numFmtId="164" fontId="23" fillId="0" borderId="0" xfId="44" applyNumberFormat="1" applyFont="1" applyBorder="1" applyAlignment="1" applyProtection="1">
      <alignment/>
      <protection/>
    </xf>
    <xf numFmtId="167" fontId="23" fillId="0" borderId="34" xfId="44" applyNumberFormat="1" applyFont="1" applyFill="1" applyBorder="1" applyAlignment="1" quotePrefix="1">
      <alignment horizontal="left"/>
    </xf>
    <xf numFmtId="167" fontId="23" fillId="0" borderId="0" xfId="44" applyNumberFormat="1" applyFont="1" applyFill="1" applyBorder="1" applyAlignment="1" quotePrefix="1">
      <alignment horizontal="left"/>
    </xf>
    <xf numFmtId="37" fontId="23" fillId="0" borderId="35" xfId="44" applyNumberFormat="1" applyFont="1" applyBorder="1" applyAlignment="1">
      <alignment horizontal="right"/>
    </xf>
    <xf numFmtId="167" fontId="23" fillId="0" borderId="0" xfId="44" applyNumberFormat="1" applyFont="1" applyFill="1" applyBorder="1" applyAlignment="1" quotePrefix="1">
      <alignment horizontal="center"/>
    </xf>
    <xf numFmtId="37" fontId="23" fillId="0" borderId="35" xfId="44" applyNumberFormat="1" applyFont="1" applyBorder="1" applyAlignment="1">
      <alignment/>
    </xf>
    <xf numFmtId="37" fontId="23" fillId="0" borderId="34" xfId="44" applyNumberFormat="1" applyFont="1" applyBorder="1" applyAlignment="1">
      <alignment/>
    </xf>
    <xf numFmtId="37" fontId="23" fillId="0" borderId="0" xfId="44" applyNumberFormat="1" applyFont="1" applyBorder="1" applyAlignment="1">
      <alignment/>
    </xf>
    <xf numFmtId="0" fontId="23" fillId="0" borderId="38" xfId="0" applyFont="1" applyBorder="1" applyAlignment="1">
      <alignment horizontal="left"/>
    </xf>
    <xf numFmtId="0" fontId="23" fillId="0" borderId="39" xfId="0" applyFont="1" applyBorder="1" applyAlignment="1" quotePrefix="1">
      <alignment horizontal="left"/>
    </xf>
    <xf numFmtId="0" fontId="23" fillId="0" borderId="39" xfId="0" applyFont="1" applyBorder="1" applyAlignment="1">
      <alignment horizontal="left"/>
    </xf>
    <xf numFmtId="167" fontId="23" fillId="0" borderId="38" xfId="44" applyNumberFormat="1" applyFont="1" applyFill="1" applyBorder="1" applyAlignment="1" quotePrefix="1">
      <alignment horizontal="left"/>
    </xf>
    <xf numFmtId="167" fontId="23" fillId="0" borderId="39" xfId="44" applyNumberFormat="1" applyFont="1" applyFill="1" applyBorder="1" applyAlignment="1" quotePrefix="1">
      <alignment horizontal="left"/>
    </xf>
    <xf numFmtId="37" fontId="23" fillId="0" borderId="40" xfId="44" applyNumberFormat="1" applyFont="1" applyBorder="1" applyAlignment="1">
      <alignment horizontal="right"/>
    </xf>
    <xf numFmtId="167" fontId="23" fillId="0" borderId="39" xfId="44" applyNumberFormat="1" applyFont="1" applyFill="1" applyBorder="1" applyAlignment="1" quotePrefix="1">
      <alignment horizontal="center"/>
    </xf>
    <xf numFmtId="37" fontId="23" fillId="0" borderId="40" xfId="44" applyNumberFormat="1" applyFont="1" applyBorder="1" applyAlignment="1">
      <alignment/>
    </xf>
    <xf numFmtId="37" fontId="23" fillId="0" borderId="41" xfId="44" applyNumberFormat="1" applyFont="1" applyBorder="1" applyAlignment="1">
      <alignment/>
    </xf>
    <xf numFmtId="37" fontId="23" fillId="0" borderId="42" xfId="44" applyNumberFormat="1" applyFont="1" applyBorder="1" applyAlignment="1">
      <alignment/>
    </xf>
    <xf numFmtId="37" fontId="23" fillId="0" borderId="43" xfId="44" applyNumberFormat="1" applyFont="1" applyBorder="1" applyAlignment="1">
      <alignment/>
    </xf>
    <xf numFmtId="164" fontId="23" fillId="0" borderId="0" xfId="44" applyNumberFormat="1" applyFont="1" applyBorder="1" applyAlignment="1" applyProtection="1">
      <alignment horizontal="left"/>
      <protection/>
    </xf>
    <xf numFmtId="41" fontId="23" fillId="0" borderId="40" xfId="44" applyNumberFormat="1" applyFont="1" applyBorder="1" applyAlignment="1">
      <alignment horizontal="right"/>
    </xf>
    <xf numFmtId="41" fontId="23" fillId="0" borderId="40" xfId="44" applyNumberFormat="1" applyFont="1" applyBorder="1" applyAlignment="1">
      <alignment/>
    </xf>
    <xf numFmtId="175" fontId="23" fillId="0" borderId="41" xfId="44" applyNumberFormat="1" applyFont="1" applyBorder="1" applyAlignment="1">
      <alignment/>
    </xf>
    <xf numFmtId="171" fontId="23" fillId="0" borderId="42" xfId="44" applyNumberFormat="1" applyFont="1" applyBorder="1" applyAlignment="1">
      <alignment/>
    </xf>
    <xf numFmtId="175" fontId="23" fillId="0" borderId="43" xfId="44" applyNumberFormat="1" applyFont="1" applyBorder="1" applyAlignment="1">
      <alignment/>
    </xf>
    <xf numFmtId="171" fontId="23" fillId="0" borderId="41" xfId="44" applyNumberFormat="1" applyFont="1" applyBorder="1" applyAlignment="1">
      <alignment/>
    </xf>
    <xf numFmtId="171" fontId="23" fillId="0" borderId="43" xfId="44" applyNumberFormat="1" applyFont="1" applyBorder="1" applyAlignment="1">
      <alignment/>
    </xf>
    <xf numFmtId="164" fontId="23" fillId="0" borderId="0" xfId="44" applyNumberFormat="1" applyFont="1" applyAlignment="1" applyProtection="1">
      <alignment horizontal="left"/>
      <protection/>
    </xf>
    <xf numFmtId="41" fontId="23" fillId="0" borderId="35" xfId="44" applyNumberFormat="1" applyFont="1" applyFill="1" applyBorder="1" applyAlignment="1">
      <alignment/>
    </xf>
    <xf numFmtId="37" fontId="23" fillId="0" borderId="34" xfId="44" applyNumberFormat="1" applyFont="1" applyFill="1" applyBorder="1" applyAlignment="1">
      <alignment/>
    </xf>
    <xf numFmtId="37" fontId="23" fillId="0" borderId="0" xfId="44" applyNumberFormat="1" applyFont="1" applyFill="1" applyBorder="1" applyAlignment="1">
      <alignment/>
    </xf>
    <xf numFmtId="171" fontId="23" fillId="0" borderId="44" xfId="44" applyNumberFormat="1" applyFont="1" applyBorder="1" applyAlignment="1">
      <alignment/>
    </xf>
    <xf numFmtId="37" fontId="23" fillId="0" borderId="45" xfId="44" applyNumberFormat="1" applyFont="1" applyBorder="1" applyAlignment="1">
      <alignment/>
    </xf>
    <xf numFmtId="175" fontId="23" fillId="0" borderId="42" xfId="44" applyNumberFormat="1" applyFont="1" applyBorder="1" applyAlignment="1">
      <alignment/>
    </xf>
    <xf numFmtId="0" fontId="23" fillId="0" borderId="0" xfId="0" applyFont="1" applyBorder="1" applyAlignment="1" quotePrefix="1">
      <alignment horizontal="left"/>
    </xf>
    <xf numFmtId="37" fontId="23" fillId="0" borderId="46" xfId="44" applyNumberFormat="1" applyFont="1" applyBorder="1" applyAlignment="1">
      <alignment horizontal="right"/>
    </xf>
    <xf numFmtId="41" fontId="23" fillId="0" borderId="35" xfId="44" applyNumberFormat="1" applyFont="1" applyBorder="1" applyAlignment="1">
      <alignment horizontal="center"/>
    </xf>
    <xf numFmtId="0" fontId="23" fillId="0" borderId="47" xfId="0" applyFont="1" applyBorder="1" applyAlignment="1" quotePrefix="1">
      <alignment horizontal="left"/>
    </xf>
    <xf numFmtId="0" fontId="23" fillId="0" borderId="48" xfId="0" applyFont="1" applyBorder="1" applyAlignment="1" quotePrefix="1">
      <alignment horizontal="left"/>
    </xf>
    <xf numFmtId="0" fontId="23" fillId="0" borderId="48" xfId="0" applyFont="1" applyBorder="1" applyAlignment="1">
      <alignment horizontal="left"/>
    </xf>
    <xf numFmtId="167" fontId="23" fillId="0" borderId="47" xfId="44" applyNumberFormat="1" applyFont="1" applyFill="1" applyBorder="1" applyAlignment="1" quotePrefix="1">
      <alignment horizontal="left"/>
    </xf>
    <xf numFmtId="167" fontId="23" fillId="0" borderId="48" xfId="44" applyNumberFormat="1" applyFont="1" applyFill="1" applyBorder="1" applyAlignment="1">
      <alignment horizontal="center"/>
    </xf>
    <xf numFmtId="167" fontId="23" fillId="0" borderId="48" xfId="44" applyNumberFormat="1" applyFont="1" applyFill="1" applyBorder="1" applyAlignment="1" quotePrefix="1">
      <alignment horizontal="left"/>
    </xf>
    <xf numFmtId="37" fontId="23" fillId="0" borderId="49" xfId="44" applyNumberFormat="1" applyFont="1" applyBorder="1" applyAlignment="1">
      <alignment horizontal="right"/>
    </xf>
    <xf numFmtId="167" fontId="23" fillId="0" borderId="48" xfId="44" applyNumberFormat="1" applyFont="1" applyFill="1" applyBorder="1" applyAlignment="1" quotePrefix="1">
      <alignment horizontal="center"/>
    </xf>
    <xf numFmtId="41" fontId="23" fillId="0" borderId="49" xfId="44" applyNumberFormat="1" applyFont="1" applyBorder="1" applyAlignment="1">
      <alignment horizontal="center"/>
    </xf>
    <xf numFmtId="37" fontId="23" fillId="0" borderId="47" xfId="44" applyNumberFormat="1" applyFont="1" applyBorder="1" applyAlignment="1">
      <alignment/>
    </xf>
    <xf numFmtId="37" fontId="23" fillId="0" borderId="48" xfId="44" applyNumberFormat="1" applyFont="1" applyBorder="1" applyAlignment="1">
      <alignment/>
    </xf>
    <xf numFmtId="37" fontId="23" fillId="0" borderId="49" xfId="44" applyNumberFormat="1" applyFont="1" applyBorder="1" applyAlignment="1">
      <alignment/>
    </xf>
    <xf numFmtId="167" fontId="23" fillId="0" borderId="34" xfId="44" applyNumberFormat="1" applyFont="1" applyFill="1" applyBorder="1" applyAlignment="1" quotePrefix="1">
      <alignment horizontal="center"/>
    </xf>
    <xf numFmtId="37" fontId="23" fillId="0" borderId="0" xfId="44" applyNumberFormat="1" applyFont="1" applyBorder="1" applyAlignment="1" quotePrefix="1">
      <alignment/>
    </xf>
    <xf numFmtId="167" fontId="23" fillId="0" borderId="0" xfId="44" applyNumberFormat="1" applyFont="1" applyFill="1" applyBorder="1" applyAlignment="1" quotePrefix="1">
      <alignment/>
    </xf>
    <xf numFmtId="0" fontId="23" fillId="0" borderId="37" xfId="0" applyFont="1" applyBorder="1" applyAlignment="1">
      <alignment horizontal="left"/>
    </xf>
    <xf numFmtId="0" fontId="23" fillId="0" borderId="10" xfId="0" applyFont="1" applyBorder="1" applyAlignment="1" quotePrefix="1">
      <alignment horizontal="left"/>
    </xf>
    <xf numFmtId="0" fontId="23" fillId="0" borderId="10" xfId="0" applyFont="1" applyBorder="1" applyAlignment="1">
      <alignment horizontal="left"/>
    </xf>
    <xf numFmtId="167" fontId="23" fillId="0" borderId="37" xfId="44" applyNumberFormat="1" applyFont="1" applyFill="1" applyBorder="1" applyAlignment="1" quotePrefix="1">
      <alignment horizontal="center"/>
    </xf>
    <xf numFmtId="167" fontId="23" fillId="0" borderId="10" xfId="44" applyNumberFormat="1" applyFont="1" applyFill="1" applyBorder="1" applyAlignment="1" quotePrefix="1">
      <alignment horizontal="center"/>
    </xf>
    <xf numFmtId="37" fontId="23" fillId="0" borderId="36" xfId="44" applyNumberFormat="1" applyFont="1" applyBorder="1" applyAlignment="1">
      <alignment horizontal="right"/>
    </xf>
    <xf numFmtId="41" fontId="23" fillId="0" borderId="10" xfId="44" applyNumberFormat="1" applyFont="1" applyBorder="1" applyAlignment="1" quotePrefix="1">
      <alignment horizontal="center"/>
    </xf>
    <xf numFmtId="37" fontId="23" fillId="0" borderId="36" xfId="44" applyNumberFormat="1" applyFont="1" applyBorder="1" applyAlignment="1">
      <alignment/>
    </xf>
    <xf numFmtId="37" fontId="23" fillId="0" borderId="37" xfId="44" applyNumberFormat="1" applyFont="1" applyBorder="1" applyAlignment="1">
      <alignment/>
    </xf>
    <xf numFmtId="37" fontId="23" fillId="0" borderId="10" xfId="44" applyNumberFormat="1" applyFont="1" applyBorder="1" applyAlignment="1">
      <alignment/>
    </xf>
    <xf numFmtId="0" fontId="37" fillId="0" borderId="32" xfId="0" applyFont="1" applyBorder="1" applyAlignment="1">
      <alignment/>
    </xf>
    <xf numFmtId="0" fontId="37" fillId="0" borderId="13" xfId="0" applyFont="1" applyBorder="1" applyAlignment="1">
      <alignment/>
    </xf>
    <xf numFmtId="167" fontId="37" fillId="0" borderId="34" xfId="44" applyNumberFormat="1" applyFont="1" applyFill="1" applyBorder="1" applyAlignment="1" quotePrefix="1">
      <alignment horizontal="center"/>
    </xf>
    <xf numFmtId="167" fontId="37" fillId="0" borderId="0" xfId="44" applyNumberFormat="1" applyFont="1" applyFill="1" applyBorder="1" applyAlignment="1" quotePrefix="1">
      <alignment horizontal="center"/>
    </xf>
    <xf numFmtId="37" fontId="37" fillId="0" borderId="35" xfId="44" applyNumberFormat="1" applyFont="1" applyBorder="1" applyAlignment="1">
      <alignment horizontal="right"/>
    </xf>
    <xf numFmtId="37" fontId="37" fillId="0" borderId="0" xfId="44" applyNumberFormat="1" applyFont="1" applyBorder="1" applyAlignment="1" quotePrefix="1">
      <alignment/>
    </xf>
    <xf numFmtId="167" fontId="37" fillId="0" borderId="0" xfId="44" applyNumberFormat="1" applyFont="1" applyFill="1" applyBorder="1" applyAlignment="1" quotePrefix="1">
      <alignment/>
    </xf>
    <xf numFmtId="37" fontId="37" fillId="0" borderId="35" xfId="44" applyNumberFormat="1" applyFont="1" applyBorder="1" applyAlignment="1">
      <alignment/>
    </xf>
    <xf numFmtId="37" fontId="37" fillId="0" borderId="34" xfId="44" applyNumberFormat="1" applyFont="1" applyBorder="1" applyAlignment="1">
      <alignment/>
    </xf>
    <xf numFmtId="37" fontId="37" fillId="0" borderId="0" xfId="44" applyNumberFormat="1" applyFont="1" applyBorder="1" applyAlignment="1">
      <alignment/>
    </xf>
    <xf numFmtId="37" fontId="23" fillId="0" borderId="0" xfId="44" applyNumberFormat="1" applyFont="1" applyBorder="1" applyAlignment="1" quotePrefix="1">
      <alignment horizontal="center"/>
    </xf>
    <xf numFmtId="167" fontId="23" fillId="0" borderId="34" xfId="44" applyNumberFormat="1" applyFont="1" applyFill="1" applyBorder="1" applyAlignment="1">
      <alignment horizontal="center"/>
    </xf>
    <xf numFmtId="167" fontId="23" fillId="0" borderId="0" xfId="44" applyNumberFormat="1" applyFont="1" applyFill="1" applyBorder="1" applyAlignment="1">
      <alignment horizontal="center"/>
    </xf>
    <xf numFmtId="167" fontId="23" fillId="0" borderId="47" xfId="44" applyNumberFormat="1" applyFont="1" applyFill="1" applyBorder="1" applyAlignment="1">
      <alignment horizontal="center"/>
    </xf>
    <xf numFmtId="167" fontId="23" fillId="0" borderId="48" xfId="44" applyNumberFormat="1" applyFont="1" applyFill="1" applyBorder="1" applyAlignment="1" quotePrefix="1">
      <alignment/>
    </xf>
    <xf numFmtId="41" fontId="23" fillId="0" borderId="49" xfId="44" applyNumberFormat="1" applyFont="1" applyBorder="1" applyAlignment="1">
      <alignment/>
    </xf>
    <xf numFmtId="0" fontId="37" fillId="0" borderId="50" xfId="0" applyFont="1" applyBorder="1" applyAlignment="1">
      <alignment/>
    </xf>
    <xf numFmtId="0" fontId="37" fillId="0" borderId="51" xfId="0" applyFont="1" applyBorder="1" applyAlignment="1">
      <alignment/>
    </xf>
    <xf numFmtId="0" fontId="29" fillId="34" borderId="52" xfId="0" applyFont="1" applyFill="1" applyBorder="1" applyAlignment="1">
      <alignment horizontal="left"/>
    </xf>
    <xf numFmtId="0" fontId="29" fillId="34" borderId="12" xfId="0" applyFont="1" applyFill="1" applyBorder="1" applyAlignment="1">
      <alignment/>
    </xf>
    <xf numFmtId="0" fontId="29" fillId="34" borderId="12" xfId="0" applyFont="1" applyFill="1" applyBorder="1" applyAlignment="1">
      <alignment horizontal="left"/>
    </xf>
    <xf numFmtId="37" fontId="37" fillId="34" borderId="52" xfId="44" applyNumberFormat="1" applyFont="1" applyFill="1" applyBorder="1" applyAlignment="1">
      <alignment horizontal="right"/>
    </xf>
    <xf numFmtId="37" fontId="37" fillId="34" borderId="12" xfId="44" applyNumberFormat="1" applyFont="1" applyFill="1" applyBorder="1" applyAlignment="1">
      <alignment horizontal="right"/>
    </xf>
    <xf numFmtId="37" fontId="37" fillId="34" borderId="53" xfId="4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37" fontId="37" fillId="0" borderId="0" xfId="44" applyNumberFormat="1" applyFont="1" applyFill="1" applyBorder="1" applyAlignment="1">
      <alignment horizontal="right"/>
    </xf>
    <xf numFmtId="0" fontId="37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37" fontId="37" fillId="0" borderId="0" xfId="0" applyNumberFormat="1" applyFont="1" applyAlignment="1">
      <alignment/>
    </xf>
    <xf numFmtId="167" fontId="59" fillId="0" borderId="0" xfId="0" applyNumberFormat="1" applyFont="1" applyFill="1" applyAlignment="1">
      <alignment/>
    </xf>
    <xf numFmtId="167" fontId="23" fillId="0" borderId="0" xfId="0" applyNumberFormat="1" applyFont="1" applyFill="1" applyAlignment="1">
      <alignment/>
    </xf>
    <xf numFmtId="0" fontId="60" fillId="0" borderId="0" xfId="0" applyFont="1" applyAlignment="1">
      <alignment horizontal="left"/>
    </xf>
    <xf numFmtId="0" fontId="61" fillId="0" borderId="0" xfId="0" applyFont="1" applyAlignment="1">
      <alignment/>
    </xf>
    <xf numFmtId="0" fontId="61" fillId="0" borderId="0" xfId="0" applyFont="1" applyAlignment="1" quotePrefix="1">
      <alignment horizontal="left"/>
    </xf>
    <xf numFmtId="0" fontId="61" fillId="0" borderId="0" xfId="0" applyFont="1" applyAlignment="1">
      <alignment horizontal="center"/>
    </xf>
    <xf numFmtId="167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left"/>
    </xf>
    <xf numFmtId="0" fontId="61" fillId="0" borderId="0" xfId="0" applyFont="1" applyAlignment="1" quotePrefix="1">
      <alignment horizontal="right"/>
    </xf>
    <xf numFmtId="0" fontId="61" fillId="0" borderId="0" xfId="0" applyFont="1" applyAlignment="1">
      <alignment horizontal="right"/>
    </xf>
    <xf numFmtId="0" fontId="61" fillId="0" borderId="0" xfId="0" applyFont="1" applyAlignment="1">
      <alignment/>
    </xf>
    <xf numFmtId="167" fontId="38" fillId="0" borderId="0" xfId="0" applyNumberFormat="1" applyFont="1" applyAlignment="1">
      <alignment horizontal="center"/>
    </xf>
    <xf numFmtId="0" fontId="61" fillId="0" borderId="0" xfId="0" applyNumberFormat="1" applyFont="1" applyAlignment="1" quotePrefix="1">
      <alignment horizontal="left"/>
    </xf>
    <xf numFmtId="167" fontId="37" fillId="0" borderId="54" xfId="44" applyNumberFormat="1" applyFont="1" applyFill="1" applyBorder="1" applyAlignment="1" quotePrefix="1">
      <alignment/>
    </xf>
    <xf numFmtId="167" fontId="37" fillId="0" borderId="55" xfId="44" applyNumberFormat="1" applyFont="1" applyFill="1" applyBorder="1" applyAlignment="1" quotePrefix="1">
      <alignment/>
    </xf>
    <xf numFmtId="37" fontId="37" fillId="0" borderId="56" xfId="44" applyNumberFormat="1" applyFont="1" applyBorder="1" applyAlignment="1">
      <alignment/>
    </xf>
    <xf numFmtId="37" fontId="37" fillId="0" borderId="55" xfId="44" applyNumberFormat="1" applyFont="1" applyBorder="1" applyAlignment="1" quotePrefix="1">
      <alignment/>
    </xf>
    <xf numFmtId="37" fontId="37" fillId="0" borderId="54" xfId="44" applyNumberFormat="1" applyFont="1" applyBorder="1" applyAlignment="1">
      <alignment/>
    </xf>
    <xf numFmtId="37" fontId="37" fillId="0" borderId="55" xfId="44" applyNumberFormat="1" applyFont="1" applyBorder="1" applyAlignment="1">
      <alignment/>
    </xf>
    <xf numFmtId="0" fontId="23" fillId="0" borderId="3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3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3" fillId="0" borderId="3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0" xfId="0" applyFont="1" applyBorder="1" applyAlignment="1">
      <alignment/>
    </xf>
    <xf numFmtId="0" fontId="37" fillId="0" borderId="35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41" fontId="37" fillId="0" borderId="34" xfId="0" applyNumberFormat="1" applyFont="1" applyBorder="1" applyAlignment="1">
      <alignment horizontal="center"/>
    </xf>
    <xf numFmtId="41" fontId="37" fillId="0" borderId="0" xfId="0" applyNumberFormat="1" applyFont="1" applyBorder="1" applyAlignment="1">
      <alignment horizontal="center"/>
    </xf>
    <xf numFmtId="167" fontId="37" fillId="0" borderId="0" xfId="0" applyNumberFormat="1" applyFont="1" applyBorder="1" applyAlignment="1">
      <alignment horizontal="center"/>
    </xf>
    <xf numFmtId="167" fontId="37" fillId="0" borderId="35" xfId="0" applyNumberFormat="1" applyFont="1" applyBorder="1" applyAlignment="1">
      <alignment horizontal="center"/>
    </xf>
    <xf numFmtId="41" fontId="37" fillId="0" borderId="0" xfId="0" applyNumberFormat="1" applyFont="1" applyFill="1" applyBorder="1" applyAlignment="1">
      <alignment horizontal="center"/>
    </xf>
    <xf numFmtId="0" fontId="37" fillId="0" borderId="34" xfId="0" applyFont="1" applyFill="1" applyBorder="1" applyAlignment="1">
      <alignment horizontal="center"/>
    </xf>
    <xf numFmtId="167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37" xfId="0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left"/>
    </xf>
    <xf numFmtId="41" fontId="37" fillId="0" borderId="37" xfId="0" applyNumberFormat="1" applyFont="1" applyBorder="1" applyAlignment="1">
      <alignment horizontal="center"/>
    </xf>
    <xf numFmtId="41" fontId="37" fillId="0" borderId="10" xfId="0" applyNumberFormat="1" applyFont="1" applyBorder="1" applyAlignment="1">
      <alignment horizontal="center"/>
    </xf>
    <xf numFmtId="0" fontId="37" fillId="0" borderId="37" xfId="0" applyFont="1" applyFill="1" applyBorder="1" applyAlignment="1">
      <alignment horizontal="center"/>
    </xf>
    <xf numFmtId="167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167" fontId="37" fillId="0" borderId="36" xfId="0" applyNumberFormat="1" applyFont="1" applyFill="1" applyBorder="1" applyAlignment="1">
      <alignment horizontal="center"/>
    </xf>
    <xf numFmtId="0" fontId="37" fillId="0" borderId="36" xfId="0" applyFont="1" applyFill="1" applyBorder="1" applyAlignment="1">
      <alignment horizontal="center"/>
    </xf>
    <xf numFmtId="41" fontId="23" fillId="0" borderId="34" xfId="0" applyNumberFormat="1" applyFont="1" applyBorder="1" applyAlignment="1" quotePrefix="1">
      <alignment horizontal="center"/>
    </xf>
    <xf numFmtId="41" fontId="23" fillId="0" borderId="0" xfId="0" applyNumberFormat="1" applyFont="1" applyBorder="1" applyAlignment="1" quotePrefix="1">
      <alignment horizontal="center"/>
    </xf>
    <xf numFmtId="41" fontId="23" fillId="0" borderId="35" xfId="0" applyNumberFormat="1" applyFont="1" applyBorder="1" applyAlignment="1" quotePrefix="1">
      <alignment horizontal="center"/>
    </xf>
    <xf numFmtId="41" fontId="23" fillId="0" borderId="34" xfId="0" applyNumberFormat="1" applyFont="1" applyBorder="1" applyAlignment="1">
      <alignment horizontal="center"/>
    </xf>
    <xf numFmtId="41" fontId="23" fillId="0" borderId="0" xfId="0" applyNumberFormat="1" applyFont="1" applyBorder="1" applyAlignment="1">
      <alignment horizontal="center"/>
    </xf>
    <xf numFmtId="41" fontId="23" fillId="0" borderId="0" xfId="44" applyNumberFormat="1" applyFont="1" applyBorder="1" applyAlignment="1">
      <alignment horizontal="center"/>
    </xf>
    <xf numFmtId="41" fontId="23" fillId="0" borderId="35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37" fontId="23" fillId="0" borderId="0" xfId="44" applyNumberFormat="1" applyFont="1" applyFill="1" applyAlignment="1">
      <alignment/>
    </xf>
    <xf numFmtId="0" fontId="23" fillId="0" borderId="0" xfId="0" applyFont="1" applyBorder="1" applyAlignment="1" quotePrefix="1">
      <alignment horizontal="center"/>
    </xf>
    <xf numFmtId="41" fontId="23" fillId="0" borderId="34" xfId="0" applyNumberFormat="1" applyFont="1" applyFill="1" applyBorder="1" applyAlignment="1" quotePrefix="1">
      <alignment horizontal="center"/>
    </xf>
    <xf numFmtId="41" fontId="23" fillId="0" borderId="0" xfId="0" applyNumberFormat="1" applyFont="1" applyFill="1" applyBorder="1" applyAlignment="1" quotePrefix="1">
      <alignment horizontal="center"/>
    </xf>
    <xf numFmtId="0" fontId="23" fillId="35" borderId="57" xfId="0" applyFont="1" applyFill="1" applyBorder="1" applyAlignment="1">
      <alignment horizontal="center"/>
    </xf>
    <xf numFmtId="0" fontId="37" fillId="35" borderId="25" xfId="0" applyFont="1" applyFill="1" applyBorder="1" applyAlignment="1">
      <alignment horizontal="center"/>
    </xf>
    <xf numFmtId="41" fontId="37" fillId="34" borderId="57" xfId="0" applyNumberFormat="1" applyFont="1" applyFill="1" applyBorder="1" applyAlignment="1" quotePrefix="1">
      <alignment horizontal="center"/>
    </xf>
    <xf numFmtId="41" fontId="37" fillId="34" borderId="25" xfId="0" applyNumberFormat="1" applyFont="1" applyFill="1" applyBorder="1" applyAlignment="1" quotePrefix="1">
      <alignment horizontal="center"/>
    </xf>
    <xf numFmtId="41" fontId="37" fillId="34" borderId="58" xfId="0" applyNumberFormat="1" applyFont="1" applyFill="1" applyBorder="1" applyAlignment="1" quotePrefix="1">
      <alignment horizontal="center"/>
    </xf>
    <xf numFmtId="41" fontId="37" fillId="34" borderId="57" xfId="0" applyNumberFormat="1" applyFont="1" applyFill="1" applyBorder="1" applyAlignment="1">
      <alignment horizontal="center"/>
    </xf>
    <xf numFmtId="41" fontId="37" fillId="34" borderId="25" xfId="44" applyNumberFormat="1" applyFont="1" applyFill="1" applyBorder="1" applyAlignment="1">
      <alignment horizontal="center"/>
    </xf>
    <xf numFmtId="41" fontId="37" fillId="34" borderId="58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65" fillId="0" borderId="0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37" fontId="6" fillId="0" borderId="0" xfId="44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66" fillId="0" borderId="0" xfId="61" applyFont="1" applyBorder="1">
      <alignment/>
      <protection/>
    </xf>
    <xf numFmtId="37" fontId="6" fillId="0" borderId="10" xfId="44" applyNumberFormat="1" applyFont="1" applyBorder="1" applyAlignment="1">
      <alignment horizontal="center"/>
    </xf>
    <xf numFmtId="0" fontId="56" fillId="0" borderId="10" xfId="0" applyFont="1" applyBorder="1" applyAlignment="1">
      <alignment/>
    </xf>
    <xf numFmtId="0" fontId="66" fillId="0" borderId="10" xfId="61" applyFont="1" applyBorder="1">
      <alignment/>
      <protection/>
    </xf>
    <xf numFmtId="0" fontId="6" fillId="0" borderId="32" xfId="61" applyFont="1" applyBorder="1">
      <alignment/>
      <protection/>
    </xf>
    <xf numFmtId="0" fontId="6" fillId="0" borderId="13" xfId="61" applyFont="1" applyBorder="1">
      <alignment/>
      <protection/>
    </xf>
    <xf numFmtId="0" fontId="6" fillId="0" borderId="34" xfId="61" applyFont="1" applyBorder="1">
      <alignment/>
      <protection/>
    </xf>
    <xf numFmtId="0" fontId="6" fillId="0" borderId="0" xfId="61" applyFont="1" applyBorder="1">
      <alignment/>
      <protection/>
    </xf>
    <xf numFmtId="0" fontId="9" fillId="0" borderId="34" xfId="61" applyFont="1" applyBorder="1" applyAlignment="1">
      <alignment horizontal="center"/>
      <protection/>
    </xf>
    <xf numFmtId="0" fontId="9" fillId="0" borderId="0" xfId="61" applyFont="1" applyBorder="1" applyAlignment="1">
      <alignment horizontal="center"/>
      <protection/>
    </xf>
    <xf numFmtId="0" fontId="9" fillId="0" borderId="0" xfId="61" applyFont="1" applyBorder="1">
      <alignment/>
      <protection/>
    </xf>
    <xf numFmtId="37" fontId="9" fillId="0" borderId="34" xfId="44" applyNumberFormat="1" applyFont="1" applyBorder="1" applyAlignment="1">
      <alignment horizontal="center"/>
    </xf>
    <xf numFmtId="37" fontId="9" fillId="0" borderId="0" xfId="44" applyNumberFormat="1" applyFont="1" applyBorder="1" applyAlignment="1">
      <alignment horizontal="center"/>
    </xf>
    <xf numFmtId="37" fontId="9" fillId="0" borderId="35" xfId="44" applyNumberFormat="1" applyFont="1" applyBorder="1" applyAlignment="1">
      <alignment horizontal="center"/>
    </xf>
    <xf numFmtId="37" fontId="9" fillId="0" borderId="0" xfId="44" applyNumberFormat="1" applyFont="1" applyFill="1" applyBorder="1" applyAlignment="1">
      <alignment horizontal="center"/>
    </xf>
    <xf numFmtId="37" fontId="9" fillId="0" borderId="37" xfId="44" applyNumberFormat="1" applyFont="1" applyBorder="1" applyAlignment="1">
      <alignment horizontal="center"/>
    </xf>
    <xf numFmtId="37" fontId="9" fillId="0" borderId="10" xfId="44" applyNumberFormat="1" applyFont="1" applyBorder="1" applyAlignment="1">
      <alignment horizontal="center"/>
    </xf>
    <xf numFmtId="37" fontId="9" fillId="0" borderId="36" xfId="44" applyNumberFormat="1" applyFont="1" applyBorder="1" applyAlignment="1">
      <alignment horizontal="center"/>
    </xf>
    <xf numFmtId="0" fontId="37" fillId="0" borderId="59" xfId="0" applyFont="1" applyFill="1" applyBorder="1" applyAlignment="1">
      <alignment horizontal="center"/>
    </xf>
    <xf numFmtId="37" fontId="9" fillId="0" borderId="37" xfId="44" applyNumberFormat="1" applyFont="1" applyBorder="1" applyAlignment="1" quotePrefix="1">
      <alignment horizontal="center"/>
    </xf>
    <xf numFmtId="37" fontId="9" fillId="0" borderId="10" xfId="44" applyNumberFormat="1" applyFont="1" applyBorder="1" applyAlignment="1" quotePrefix="1">
      <alignment horizontal="center"/>
    </xf>
    <xf numFmtId="37" fontId="9" fillId="0" borderId="36" xfId="44" applyNumberFormat="1" applyFont="1" applyBorder="1" applyAlignment="1" quotePrefix="1">
      <alignment horizontal="center"/>
    </xf>
    <xf numFmtId="0" fontId="6" fillId="0" borderId="34" xfId="61" applyFont="1" applyBorder="1" applyAlignment="1" quotePrefix="1">
      <alignment horizontal="center"/>
      <protection/>
    </xf>
    <xf numFmtId="0" fontId="6" fillId="0" borderId="0" xfId="61" applyFont="1" applyBorder="1" applyAlignment="1">
      <alignment horizontal="center"/>
      <protection/>
    </xf>
    <xf numFmtId="0" fontId="6" fillId="0" borderId="35" xfId="61" applyFont="1" applyBorder="1" applyAlignment="1">
      <alignment horizontal="left"/>
      <protection/>
    </xf>
    <xf numFmtId="41" fontId="6" fillId="0" borderId="0" xfId="44" applyNumberFormat="1" applyFont="1" applyBorder="1" applyAlignment="1" quotePrefix="1">
      <alignment/>
    </xf>
    <xf numFmtId="41" fontId="6" fillId="0" borderId="35" xfId="61" applyNumberFormat="1" applyFont="1" applyBorder="1" applyAlignment="1">
      <alignment/>
      <protection/>
    </xf>
    <xf numFmtId="41" fontId="6" fillId="0" borderId="60" xfId="61" applyNumberFormat="1" applyFont="1" applyFill="1" applyBorder="1" applyAlignment="1" quotePrefix="1">
      <alignment/>
      <protection/>
    </xf>
    <xf numFmtId="41" fontId="6" fillId="0" borderId="0" xfId="61" applyNumberFormat="1" applyFont="1" applyFill="1" applyBorder="1" applyAlignment="1" quotePrefix="1">
      <alignment/>
      <protection/>
    </xf>
    <xf numFmtId="41" fontId="6" fillId="0" borderId="34" xfId="61" applyNumberFormat="1" applyFont="1" applyBorder="1" applyAlignment="1">
      <alignment/>
      <protection/>
    </xf>
    <xf numFmtId="41" fontId="6" fillId="0" borderId="0" xfId="61" applyNumberFormat="1" applyFont="1" applyBorder="1" applyAlignment="1">
      <alignment/>
      <protection/>
    </xf>
    <xf numFmtId="0" fontId="6" fillId="0" borderId="34" xfId="61" applyFont="1" applyBorder="1" applyAlignment="1">
      <alignment horizontal="center"/>
      <protection/>
    </xf>
    <xf numFmtId="0" fontId="23" fillId="0" borderId="35" xfId="0" applyFont="1" applyFill="1" applyBorder="1" applyAlignment="1">
      <alignment horizontal="left"/>
    </xf>
    <xf numFmtId="0" fontId="6" fillId="0" borderId="34" xfId="61" applyFont="1" applyBorder="1" applyAlignment="1">
      <alignment horizontal="left"/>
      <protection/>
    </xf>
    <xf numFmtId="43" fontId="9" fillId="34" borderId="61" xfId="44" applyFont="1" applyFill="1" applyBorder="1" applyAlignment="1">
      <alignment horizontal="left"/>
    </xf>
    <xf numFmtId="43" fontId="9" fillId="34" borderId="14" xfId="44" applyFont="1" applyFill="1" applyBorder="1" applyAlignment="1">
      <alignment horizontal="left"/>
    </xf>
    <xf numFmtId="0" fontId="9" fillId="34" borderId="14" xfId="61" applyFont="1" applyFill="1" applyBorder="1">
      <alignment/>
      <protection/>
    </xf>
    <xf numFmtId="167" fontId="9" fillId="34" borderId="61" xfId="61" applyNumberFormat="1" applyFont="1" applyFill="1" applyBorder="1">
      <alignment/>
      <protection/>
    </xf>
    <xf numFmtId="167" fontId="9" fillId="34" borderId="14" xfId="61" applyNumberFormat="1" applyFont="1" applyFill="1" applyBorder="1">
      <alignment/>
      <protection/>
    </xf>
    <xf numFmtId="41" fontId="9" fillId="34" borderId="14" xfId="61" applyNumberFormat="1" applyFont="1" applyFill="1" applyBorder="1" applyAlignment="1">
      <alignment horizontal="left"/>
      <protection/>
    </xf>
    <xf numFmtId="167" fontId="9" fillId="34" borderId="62" xfId="61" applyNumberFormat="1" applyFont="1" applyFill="1" applyBorder="1">
      <alignment/>
      <protection/>
    </xf>
    <xf numFmtId="37" fontId="67" fillId="0" borderId="0" xfId="44" applyNumberFormat="1" applyFont="1" applyAlignment="1" quotePrefix="1">
      <alignment horizontal="left"/>
    </xf>
    <xf numFmtId="167" fontId="67" fillId="0" borderId="0" xfId="44" applyNumberFormat="1" applyFont="1" applyAlignment="1">
      <alignment/>
    </xf>
    <xf numFmtId="37" fontId="67" fillId="0" borderId="0" xfId="44" applyNumberFormat="1" applyFont="1" applyAlignment="1">
      <alignment/>
    </xf>
    <xf numFmtId="0" fontId="68" fillId="0" borderId="0" xfId="0" applyFont="1" applyBorder="1" applyAlignment="1">
      <alignment/>
    </xf>
    <xf numFmtId="37" fontId="6" fillId="0" borderId="0" xfId="44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34" xfId="0" applyFont="1" applyBorder="1" applyAlignment="1">
      <alignment/>
    </xf>
    <xf numFmtId="0" fontId="58" fillId="0" borderId="37" xfId="0" applyFont="1" applyBorder="1" applyAlignment="1">
      <alignment/>
    </xf>
    <xf numFmtId="0" fontId="9" fillId="0" borderId="37" xfId="61" applyFont="1" applyBorder="1" applyAlignment="1">
      <alignment horizontal="center"/>
      <protection/>
    </xf>
    <xf numFmtId="0" fontId="9" fillId="0" borderId="10" xfId="61" applyFont="1" applyBorder="1" applyAlignment="1">
      <alignment horizontal="center"/>
      <protection/>
    </xf>
    <xf numFmtId="43" fontId="9" fillId="0" borderId="36" xfId="44" applyFont="1" applyBorder="1" applyAlignment="1">
      <alignment/>
    </xf>
    <xf numFmtId="41" fontId="23" fillId="0" borderId="35" xfId="44" applyNumberFormat="1" applyFont="1" applyBorder="1" applyAlignment="1">
      <alignment horizontal="right"/>
    </xf>
    <xf numFmtId="41" fontId="23" fillId="0" borderId="35" xfId="44" applyNumberFormat="1" applyFont="1" applyBorder="1" applyAlignment="1">
      <alignment/>
    </xf>
    <xf numFmtId="175" fontId="23" fillId="0" borderId="34" xfId="44" applyNumberFormat="1" applyFont="1" applyBorder="1" applyAlignment="1">
      <alignment/>
    </xf>
    <xf numFmtId="171" fontId="23" fillId="0" borderId="0" xfId="44" applyNumberFormat="1" applyFont="1" applyBorder="1" applyAlignment="1">
      <alignment/>
    </xf>
    <xf numFmtId="175" fontId="23" fillId="0" borderId="35" xfId="44" applyNumberFormat="1" applyFont="1" applyBorder="1" applyAlignment="1">
      <alignment/>
    </xf>
    <xf numFmtId="164" fontId="23" fillId="0" borderId="13" xfId="44" applyNumberFormat="1" applyFont="1" applyBorder="1" applyAlignment="1" applyProtection="1" quotePrefix="1">
      <alignment horizontal="left"/>
      <protection/>
    </xf>
    <xf numFmtId="167" fontId="23" fillId="0" borderId="32" xfId="44" applyNumberFormat="1" applyFont="1" applyFill="1" applyBorder="1" applyAlignment="1" quotePrefix="1">
      <alignment horizontal="left"/>
    </xf>
    <xf numFmtId="167" fontId="23" fillId="0" borderId="13" xfId="44" applyNumberFormat="1" applyFont="1" applyFill="1" applyBorder="1" applyAlignment="1" quotePrefix="1">
      <alignment horizontal="left"/>
    </xf>
    <xf numFmtId="37" fontId="23" fillId="0" borderId="33" xfId="44" applyNumberFormat="1" applyFont="1" applyBorder="1" applyAlignment="1">
      <alignment horizontal="right"/>
    </xf>
    <xf numFmtId="167" fontId="23" fillId="0" borderId="13" xfId="44" applyNumberFormat="1" applyFont="1" applyFill="1" applyBorder="1" applyAlignment="1" quotePrefix="1">
      <alignment horizontal="center"/>
    </xf>
    <xf numFmtId="37" fontId="23" fillId="0" borderId="33" xfId="44" applyNumberFormat="1" applyFont="1" applyBorder="1" applyAlignment="1">
      <alignment/>
    </xf>
    <xf numFmtId="37" fontId="23" fillId="0" borderId="32" xfId="44" applyNumberFormat="1" applyFont="1" applyBorder="1" applyAlignment="1">
      <alignment/>
    </xf>
    <xf numFmtId="37" fontId="23" fillId="0" borderId="13" xfId="44" applyNumberFormat="1" applyFont="1" applyBorder="1" applyAlignment="1">
      <alignment/>
    </xf>
    <xf numFmtId="167" fontId="6" fillId="0" borderId="0" xfId="42" applyNumberFormat="1" applyFont="1" applyFill="1" applyBorder="1" applyAlignment="1">
      <alignment horizontal="center"/>
    </xf>
    <xf numFmtId="167" fontId="6" fillId="0" borderId="10" xfId="42" applyNumberFormat="1" applyFont="1" applyFill="1" applyBorder="1" applyAlignment="1">
      <alignment horizontal="right"/>
    </xf>
    <xf numFmtId="167" fontId="6" fillId="0" borderId="0" xfId="42" applyNumberFormat="1" applyFont="1" applyFill="1" applyAlignment="1">
      <alignment/>
    </xf>
    <xf numFmtId="37" fontId="27" fillId="0" borderId="0" xfId="42" applyNumberFormat="1" applyFont="1" applyFill="1" applyBorder="1" applyAlignment="1" applyProtection="1">
      <alignment/>
      <protection/>
    </xf>
    <xf numFmtId="37" fontId="10" fillId="0" borderId="0" xfId="64" applyNumberFormat="1" applyFont="1" applyFill="1" applyBorder="1">
      <alignment/>
      <protection/>
    </xf>
    <xf numFmtId="37" fontId="6" fillId="0" borderId="0" xfId="42" applyNumberFormat="1" applyFont="1" applyFill="1" applyBorder="1" applyAlignment="1" applyProtection="1">
      <alignment horizontal="center"/>
      <protection/>
    </xf>
    <xf numFmtId="37" fontId="6" fillId="0" borderId="0" xfId="64" applyNumberFormat="1" applyFont="1" applyFill="1" applyBorder="1" applyAlignment="1">
      <alignment horizontal="center"/>
      <protection/>
    </xf>
    <xf numFmtId="37" fontId="10" fillId="0" borderId="16" xfId="64" applyNumberFormat="1" applyFont="1" applyFill="1" applyBorder="1">
      <alignment/>
      <protection/>
    </xf>
    <xf numFmtId="164" fontId="6" fillId="0" borderId="0" xfId="64" applyNumberFormat="1" applyFont="1" applyFill="1" applyBorder="1" applyAlignment="1">
      <alignment horizontal="center"/>
      <protection/>
    </xf>
    <xf numFmtId="37" fontId="6" fillId="0" borderId="0" xfId="42" applyNumberFormat="1" applyFont="1" applyFill="1" applyBorder="1" applyAlignment="1">
      <alignment/>
    </xf>
    <xf numFmtId="37" fontId="9" fillId="0" borderId="11" xfId="42" applyNumberFormat="1" applyFont="1" applyFill="1" applyBorder="1" applyAlignment="1">
      <alignment/>
    </xf>
    <xf numFmtId="37" fontId="19" fillId="0" borderId="0" xfId="64" applyNumberFormat="1" applyFont="1" applyFill="1" applyBorder="1">
      <alignment/>
      <protection/>
    </xf>
    <xf numFmtId="37" fontId="9" fillId="0" borderId="14" xfId="42" applyNumberFormat="1" applyFont="1" applyFill="1" applyBorder="1" applyAlignment="1">
      <alignment/>
    </xf>
    <xf numFmtId="37" fontId="19" fillId="0" borderId="0" xfId="42" applyNumberFormat="1" applyFont="1" applyFill="1" applyBorder="1" applyAlignment="1">
      <alignment/>
    </xf>
    <xf numFmtId="37" fontId="9" fillId="0" borderId="12" xfId="42" applyNumberFormat="1" applyFont="1" applyFill="1" applyBorder="1" applyAlignment="1">
      <alignment/>
    </xf>
    <xf numFmtId="37" fontId="6" fillId="0" borderId="10" xfId="42" applyNumberFormat="1" applyFont="1" applyFill="1" applyBorder="1" applyAlignment="1">
      <alignment/>
    </xf>
    <xf numFmtId="37" fontId="9" fillId="0" borderId="0" xfId="42" applyNumberFormat="1" applyFont="1" applyFill="1" applyBorder="1" applyAlignment="1">
      <alignment/>
    </xf>
    <xf numFmtId="37" fontId="9" fillId="0" borderId="25" xfId="42" applyNumberFormat="1" applyFont="1" applyFill="1" applyBorder="1" applyAlignment="1">
      <alignment/>
    </xf>
    <xf numFmtId="164" fontId="23" fillId="0" borderId="0" xfId="0" applyNumberFormat="1" applyFont="1" applyAlignment="1">
      <alignment horizontal="center"/>
    </xf>
    <xf numFmtId="215" fontId="47" fillId="0" borderId="0" xfId="0" applyNumberFormat="1" applyFont="1" applyFill="1" applyBorder="1" applyAlignment="1">
      <alignment horizontal="right"/>
    </xf>
    <xf numFmtId="215" fontId="46" fillId="0" borderId="13" xfId="0" applyNumberFormat="1" applyFont="1" applyFill="1" applyBorder="1" applyAlignment="1">
      <alignment/>
    </xf>
    <xf numFmtId="215" fontId="50" fillId="0" borderId="10" xfId="42" applyNumberFormat="1" applyFont="1" applyFill="1" applyBorder="1" applyAlignment="1">
      <alignment/>
    </xf>
    <xf numFmtId="41" fontId="46" fillId="0" borderId="0" xfId="0" applyNumberFormat="1" applyFont="1" applyFill="1" applyBorder="1" applyAlignment="1">
      <alignment/>
    </xf>
    <xf numFmtId="215" fontId="47" fillId="0" borderId="14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1" fontId="47" fillId="0" borderId="0" xfId="0" applyNumberFormat="1" applyFont="1" applyBorder="1" applyAlignment="1">
      <alignment/>
    </xf>
    <xf numFmtId="41" fontId="47" fillId="0" borderId="0" xfId="0" applyNumberFormat="1" applyFont="1" applyFill="1" applyBorder="1" applyAlignment="1">
      <alignment/>
    </xf>
    <xf numFmtId="41" fontId="46" fillId="0" borderId="0" xfId="0" applyNumberFormat="1" applyFont="1" applyFill="1" applyBorder="1" applyAlignment="1">
      <alignment horizontal="center"/>
    </xf>
    <xf numFmtId="215" fontId="46" fillId="0" borderId="0" xfId="42" applyNumberFormat="1" applyFont="1" applyFill="1" applyBorder="1" applyAlignment="1">
      <alignment/>
    </xf>
    <xf numFmtId="41" fontId="47" fillId="0" borderId="30" xfId="0" applyNumberFormat="1" applyFont="1" applyFill="1" applyBorder="1" applyAlignment="1">
      <alignment/>
    </xf>
    <xf numFmtId="215" fontId="107" fillId="0" borderId="0" xfId="0" applyNumberFormat="1" applyFont="1" applyFill="1" applyBorder="1" applyAlignment="1">
      <alignment/>
    </xf>
    <xf numFmtId="217" fontId="47" fillId="0" borderId="14" xfId="0" applyNumberFormat="1" applyFont="1" applyFill="1" applyBorder="1" applyAlignment="1">
      <alignment/>
    </xf>
    <xf numFmtId="41" fontId="47" fillId="0" borderId="63" xfId="0" applyNumberFormat="1" applyFont="1" applyFill="1" applyBorder="1" applyAlignment="1">
      <alignment/>
    </xf>
    <xf numFmtId="41" fontId="46" fillId="0" borderId="63" xfId="0" applyNumberFormat="1" applyFont="1" applyFill="1" applyBorder="1" applyAlignment="1">
      <alignment horizontal="center"/>
    </xf>
    <xf numFmtId="218" fontId="50" fillId="0" borderId="63" xfId="42" applyNumberFormat="1" applyFont="1" applyFill="1" applyBorder="1" applyAlignment="1">
      <alignment horizontal="left"/>
    </xf>
    <xf numFmtId="215" fontId="46" fillId="0" borderId="30" xfId="42" applyNumberFormat="1" applyFont="1" applyFill="1" applyBorder="1" applyAlignment="1">
      <alignment/>
    </xf>
    <xf numFmtId="215" fontId="47" fillId="0" borderId="31" xfId="0" applyNumberFormat="1" applyFont="1" applyFill="1" applyBorder="1" applyAlignment="1">
      <alignment/>
    </xf>
    <xf numFmtId="166" fontId="6" fillId="0" borderId="0" xfId="42" applyNumberFormat="1" applyFont="1" applyAlignment="1">
      <alignment/>
    </xf>
    <xf numFmtId="0" fontId="108" fillId="0" borderId="0" xfId="0" applyFont="1" applyFill="1" applyBorder="1" applyAlignment="1">
      <alignment horizontal="left"/>
    </xf>
    <xf numFmtId="164" fontId="28" fillId="0" borderId="0" xfId="58" applyNumberFormat="1" applyFont="1" applyFill="1" applyAlignment="1" applyProtection="1">
      <alignment horizontal="left"/>
      <protection/>
    </xf>
    <xf numFmtId="0" fontId="19" fillId="0" borderId="0" xfId="0" applyFont="1" applyFill="1" applyBorder="1" applyAlignment="1">
      <alignment horizontal="left"/>
    </xf>
    <xf numFmtId="43" fontId="8" fillId="0" borderId="13" xfId="42" applyFont="1" applyBorder="1" applyAlignment="1">
      <alignment/>
    </xf>
    <xf numFmtId="43" fontId="6" fillId="0" borderId="13" xfId="42" applyFont="1" applyBorder="1" applyAlignment="1">
      <alignment horizontal="center"/>
    </xf>
    <xf numFmtId="43" fontId="6" fillId="0" borderId="13" xfId="42" applyFont="1" applyFill="1" applyBorder="1" applyAlignment="1">
      <alignment/>
    </xf>
    <xf numFmtId="43" fontId="6" fillId="0" borderId="13" xfId="42" applyFont="1" applyBorder="1" applyAlignment="1">
      <alignment/>
    </xf>
    <xf numFmtId="43" fontId="6" fillId="33" borderId="13" xfId="42" applyFont="1" applyFill="1" applyBorder="1" applyAlignment="1">
      <alignment/>
    </xf>
    <xf numFmtId="43" fontId="8" fillId="0" borderId="0" xfId="42" applyFont="1" applyFill="1" applyAlignment="1">
      <alignment/>
    </xf>
    <xf numFmtId="49" fontId="9" fillId="0" borderId="12" xfId="63" applyNumberFormat="1" applyFont="1" applyBorder="1">
      <alignment/>
      <protection/>
    </xf>
    <xf numFmtId="173" fontId="9" fillId="0" borderId="12" xfId="45" applyNumberFormat="1" applyFont="1" applyBorder="1" applyAlignment="1">
      <alignment/>
    </xf>
    <xf numFmtId="41" fontId="9" fillId="0" borderId="12" xfId="42" applyNumberFormat="1" applyFont="1" applyFill="1" applyBorder="1" applyAlignment="1">
      <alignment horizontal="center"/>
    </xf>
    <xf numFmtId="173" fontId="9" fillId="33" borderId="12" xfId="45" applyNumberFormat="1" applyFont="1" applyFill="1" applyBorder="1" applyAlignment="1">
      <alignment/>
    </xf>
    <xf numFmtId="0" fontId="24" fillId="0" borderId="0" xfId="59" applyFont="1" applyFill="1">
      <alignment/>
      <protection/>
    </xf>
    <xf numFmtId="173" fontId="9" fillId="0" borderId="12" xfId="42" applyNumberFormat="1" applyFont="1" applyBorder="1" applyAlignment="1">
      <alignment horizontal="right"/>
    </xf>
    <xf numFmtId="169" fontId="9" fillId="0" borderId="12" xfId="42" applyNumberFormat="1" applyFont="1" applyBorder="1" applyAlignment="1">
      <alignment horizontal="right"/>
    </xf>
    <xf numFmtId="0" fontId="9" fillId="0" borderId="0" xfId="63" applyFont="1" applyFill="1">
      <alignment/>
      <protection/>
    </xf>
    <xf numFmtId="0" fontId="109" fillId="0" borderId="0" xfId="0" applyFont="1" applyFill="1" applyAlignment="1">
      <alignment/>
    </xf>
    <xf numFmtId="164" fontId="6" fillId="0" borderId="0" xfId="42" applyNumberFormat="1" applyFont="1" applyAlignment="1">
      <alignment horizontal="left"/>
    </xf>
    <xf numFmtId="164" fontId="6" fillId="0" borderId="11" xfId="42" applyNumberFormat="1" applyFont="1" applyBorder="1" applyAlignment="1" applyProtection="1">
      <alignment horizontal="left"/>
      <protection/>
    </xf>
    <xf numFmtId="37" fontId="11" fillId="0" borderId="12" xfId="42" applyNumberFormat="1" applyFont="1" applyBorder="1" applyAlignment="1" applyProtection="1">
      <alignment horizontal="left"/>
      <protection/>
    </xf>
    <xf numFmtId="164" fontId="8" fillId="0" borderId="11" xfId="42" applyNumberFormat="1" applyFont="1" applyBorder="1" applyAlignment="1">
      <alignment horizontal="left"/>
    </xf>
    <xf numFmtId="5" fontId="6" fillId="0" borderId="11" xfId="42" applyNumberFormat="1" applyFont="1" applyBorder="1" applyAlignment="1">
      <alignment/>
    </xf>
    <xf numFmtId="164" fontId="8" fillId="0" borderId="0" xfId="42" applyNumberFormat="1" applyFont="1" applyAlignment="1">
      <alignment/>
    </xf>
    <xf numFmtId="164" fontId="6" fillId="0" borderId="0" xfId="42" applyNumberFormat="1" applyFont="1" applyFill="1" applyAlignment="1" applyProtection="1">
      <alignment horizontal="left"/>
      <protection/>
    </xf>
    <xf numFmtId="164" fontId="6" fillId="0" borderId="0" xfId="42" applyNumberFormat="1" applyFont="1" applyFill="1" applyAlignment="1">
      <alignment horizontal="left"/>
    </xf>
    <xf numFmtId="37" fontId="6" fillId="0" borderId="0" xfId="60" applyNumberFormat="1" applyFont="1" applyFill="1">
      <alignment/>
      <protection/>
    </xf>
    <xf numFmtId="5" fontId="6" fillId="0" borderId="0" xfId="60" applyNumberFormat="1" applyFont="1" applyFill="1">
      <alignment/>
      <protection/>
    </xf>
    <xf numFmtId="173" fontId="9" fillId="0" borderId="0" xfId="42" applyNumberFormat="1" applyFont="1" applyBorder="1" applyAlignment="1">
      <alignment/>
    </xf>
    <xf numFmtId="173" fontId="9" fillId="0" borderId="0" xfId="64" applyNumberFormat="1" applyFont="1" applyBorder="1">
      <alignment/>
      <protection/>
    </xf>
    <xf numFmtId="41" fontId="49" fillId="0" borderId="64" xfId="0" applyNumberFormat="1" applyFont="1" applyFill="1" applyBorder="1" applyAlignment="1">
      <alignment/>
    </xf>
    <xf numFmtId="41" fontId="47" fillId="0" borderId="65" xfId="0" applyNumberFormat="1" applyFont="1" applyFill="1" applyBorder="1" applyAlignment="1">
      <alignment/>
    </xf>
    <xf numFmtId="41" fontId="46" fillId="0" borderId="65" xfId="0" applyNumberFormat="1" applyFont="1" applyFill="1" applyBorder="1" applyAlignment="1">
      <alignment horizontal="center"/>
    </xf>
    <xf numFmtId="217" fontId="46" fillId="0" borderId="65" xfId="0" applyNumberFormat="1" applyFont="1" applyFill="1" applyBorder="1" applyAlignment="1">
      <alignment/>
    </xf>
    <xf numFmtId="217" fontId="47" fillId="0" borderId="66" xfId="0" applyNumberFormat="1" applyFont="1" applyFill="1" applyBorder="1" applyAlignment="1">
      <alignment horizontal="center"/>
    </xf>
    <xf numFmtId="41" fontId="46" fillId="0" borderId="67" xfId="0" applyNumberFormat="1" applyFont="1" applyFill="1" applyBorder="1" applyAlignment="1">
      <alignment/>
    </xf>
    <xf numFmtId="215" fontId="47" fillId="0" borderId="68" xfId="0" applyNumberFormat="1" applyFont="1" applyFill="1" applyBorder="1" applyAlignment="1">
      <alignment horizontal="right"/>
    </xf>
    <xf numFmtId="41" fontId="47" fillId="0" borderId="69" xfId="0" applyNumberFormat="1" applyFont="1" applyFill="1" applyBorder="1" applyAlignment="1">
      <alignment/>
    </xf>
    <xf numFmtId="215" fontId="47" fillId="0" borderId="70" xfId="42" applyNumberFormat="1" applyFont="1" applyFill="1" applyBorder="1" applyAlignment="1">
      <alignment horizontal="right"/>
    </xf>
    <xf numFmtId="41" fontId="46" fillId="0" borderId="71" xfId="0" applyNumberFormat="1" applyFont="1" applyFill="1" applyBorder="1" applyAlignment="1">
      <alignment/>
    </xf>
    <xf numFmtId="215" fontId="46" fillId="0" borderId="70" xfId="42" applyNumberFormat="1" applyFont="1" applyFill="1" applyBorder="1" applyAlignment="1">
      <alignment/>
    </xf>
    <xf numFmtId="41" fontId="47" fillId="0" borderId="67" xfId="0" applyNumberFormat="1" applyFont="1" applyFill="1" applyBorder="1" applyAlignment="1">
      <alignment/>
    </xf>
    <xf numFmtId="215" fontId="46" fillId="0" borderId="68" xfId="42" applyNumberFormat="1" applyFont="1" applyFill="1" applyBorder="1" applyAlignment="1">
      <alignment/>
    </xf>
    <xf numFmtId="215" fontId="46" fillId="0" borderId="72" xfId="42" applyNumberFormat="1" applyFont="1" applyFill="1" applyBorder="1" applyAlignment="1">
      <alignment/>
    </xf>
    <xf numFmtId="215" fontId="50" fillId="0" borderId="72" xfId="42" applyNumberFormat="1" applyFont="1" applyFill="1" applyBorder="1" applyAlignment="1">
      <alignment/>
    </xf>
    <xf numFmtId="41" fontId="69" fillId="0" borderId="67" xfId="0" applyNumberFormat="1" applyFont="1" applyFill="1" applyBorder="1" applyAlignment="1">
      <alignment/>
    </xf>
    <xf numFmtId="0" fontId="0" fillId="0" borderId="68" xfId="0" applyBorder="1" applyAlignment="1">
      <alignment/>
    </xf>
    <xf numFmtId="215" fontId="46" fillId="0" borderId="68" xfId="0" applyNumberFormat="1" applyFont="1" applyFill="1" applyBorder="1" applyAlignment="1">
      <alignment/>
    </xf>
    <xf numFmtId="215" fontId="48" fillId="0" borderId="68" xfId="0" applyNumberFormat="1" applyFont="1" applyFill="1" applyBorder="1" applyAlignment="1">
      <alignment/>
    </xf>
    <xf numFmtId="215" fontId="47" fillId="0" borderId="73" xfId="0" applyNumberFormat="1" applyFont="1" applyFill="1" applyBorder="1" applyAlignment="1">
      <alignment/>
    </xf>
    <xf numFmtId="0" fontId="0" fillId="0" borderId="68" xfId="0" applyNumberFormat="1" applyFont="1" applyFill="1" applyBorder="1" applyAlignment="1">
      <alignment/>
    </xf>
    <xf numFmtId="41" fontId="47" fillId="0" borderId="67" xfId="0" applyNumberFormat="1" applyFont="1" applyFill="1" applyBorder="1" applyAlignment="1">
      <alignment/>
    </xf>
    <xf numFmtId="215" fontId="46" fillId="0" borderId="68" xfId="42" applyNumberFormat="1" applyFont="1" applyFill="1" applyBorder="1" applyAlignment="1">
      <alignment/>
    </xf>
    <xf numFmtId="41" fontId="46" fillId="0" borderId="74" xfId="0" applyNumberFormat="1" applyFont="1" applyFill="1" applyBorder="1" applyAlignment="1">
      <alignment/>
    </xf>
    <xf numFmtId="215" fontId="106" fillId="0" borderId="75" xfId="42" applyNumberFormat="1" applyFont="1" applyFill="1" applyBorder="1" applyAlignment="1">
      <alignment/>
    </xf>
    <xf numFmtId="215" fontId="106" fillId="0" borderId="68" xfId="42" applyNumberFormat="1" applyFont="1" applyFill="1" applyBorder="1" applyAlignment="1">
      <alignment/>
    </xf>
    <xf numFmtId="215" fontId="106" fillId="0" borderId="72" xfId="42" applyNumberFormat="1" applyFont="1" applyFill="1" applyBorder="1" applyAlignment="1">
      <alignment/>
    </xf>
    <xf numFmtId="215" fontId="107" fillId="0" borderId="68" xfId="0" applyNumberFormat="1" applyFont="1" applyFill="1" applyBorder="1" applyAlignment="1">
      <alignment/>
    </xf>
    <xf numFmtId="217" fontId="47" fillId="0" borderId="73" xfId="0" applyNumberFormat="1" applyFont="1" applyFill="1" applyBorder="1" applyAlignment="1">
      <alignment/>
    </xf>
    <xf numFmtId="218" fontId="46" fillId="0" borderId="70" xfId="42" applyNumberFormat="1" applyFont="1" applyFill="1" applyBorder="1" applyAlignment="1">
      <alignment/>
    </xf>
    <xf numFmtId="218" fontId="46" fillId="0" borderId="68" xfId="42" applyNumberFormat="1" applyFont="1" applyFill="1" applyBorder="1" applyAlignment="1">
      <alignment/>
    </xf>
    <xf numFmtId="218" fontId="106" fillId="0" borderId="68" xfId="42" applyNumberFormat="1" applyFont="1" applyFill="1" applyBorder="1" applyAlignment="1">
      <alignment/>
    </xf>
    <xf numFmtId="218" fontId="46" fillId="0" borderId="72" xfId="42" applyNumberFormat="1" applyFont="1" applyFill="1" applyBorder="1" applyAlignment="1">
      <alignment/>
    </xf>
    <xf numFmtId="41" fontId="47" fillId="0" borderId="76" xfId="0" applyNumberFormat="1" applyFont="1" applyFill="1" applyBorder="1" applyAlignment="1">
      <alignment/>
    </xf>
    <xf numFmtId="218" fontId="50" fillId="0" borderId="77" xfId="42" applyNumberFormat="1" applyFont="1" applyFill="1" applyBorder="1" applyAlignment="1">
      <alignment horizontal="left"/>
    </xf>
    <xf numFmtId="215" fontId="46" fillId="0" borderId="75" xfId="42" applyNumberFormat="1" applyFont="1" applyFill="1" applyBorder="1" applyAlignment="1">
      <alignment/>
    </xf>
    <xf numFmtId="41" fontId="47" fillId="0" borderId="78" xfId="0" applyNumberFormat="1" applyFont="1" applyFill="1" applyBorder="1" applyAlignment="1">
      <alignment/>
    </xf>
    <xf numFmtId="215" fontId="47" fillId="0" borderId="79" xfId="0" applyNumberFormat="1" applyFont="1" applyFill="1" applyBorder="1" applyAlignment="1">
      <alignment/>
    </xf>
    <xf numFmtId="41" fontId="46" fillId="0" borderId="80" xfId="0" applyNumberFormat="1" applyFont="1" applyFill="1" applyBorder="1" applyAlignment="1">
      <alignment/>
    </xf>
    <xf numFmtId="41" fontId="47" fillId="0" borderId="81" xfId="0" applyNumberFormat="1" applyFont="1" applyFill="1" applyBorder="1" applyAlignment="1">
      <alignment/>
    </xf>
    <xf numFmtId="41" fontId="46" fillId="0" borderId="81" xfId="0" applyNumberFormat="1" applyFont="1" applyFill="1" applyBorder="1" applyAlignment="1">
      <alignment horizontal="center"/>
    </xf>
    <xf numFmtId="215" fontId="46" fillId="0" borderId="81" xfId="0" applyNumberFormat="1" applyFont="1" applyFill="1" applyBorder="1" applyAlignment="1">
      <alignment/>
    </xf>
    <xf numFmtId="215" fontId="46" fillId="0" borderId="82" xfId="0" applyNumberFormat="1" applyFont="1" applyFill="1" applyBorder="1" applyAlignment="1">
      <alignment/>
    </xf>
    <xf numFmtId="37" fontId="6" fillId="0" borderId="0" xfId="64" applyNumberFormat="1" applyFont="1" applyBorder="1" applyAlignment="1">
      <alignment horizontal="center"/>
      <protection/>
    </xf>
    <xf numFmtId="167" fontId="6" fillId="0" borderId="0" xfId="42" applyNumberFormat="1" applyFont="1" applyBorder="1" applyAlignment="1">
      <alignment horizontal="center"/>
    </xf>
    <xf numFmtId="49" fontId="39" fillId="0" borderId="83" xfId="0" applyNumberFormat="1" applyFont="1" applyFill="1" applyBorder="1" applyAlignment="1">
      <alignment horizontal="center"/>
    </xf>
    <xf numFmtId="49" fontId="39" fillId="0" borderId="26" xfId="0" applyNumberFormat="1" applyFont="1" applyFill="1" applyBorder="1" applyAlignment="1">
      <alignment horizontal="center"/>
    </xf>
    <xf numFmtId="49" fontId="39" fillId="0" borderId="84" xfId="0" applyNumberFormat="1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49" fontId="39" fillId="0" borderId="19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49" fontId="39" fillId="0" borderId="20" xfId="0" applyNumberFormat="1" applyFont="1" applyFill="1" applyBorder="1" applyAlignment="1">
      <alignment horizontal="center"/>
    </xf>
    <xf numFmtId="37" fontId="2" fillId="0" borderId="0" xfId="42" applyNumberFormat="1" applyFont="1" applyAlignment="1">
      <alignment horizontal="center"/>
    </xf>
    <xf numFmtId="37" fontId="3" fillId="0" borderId="0" xfId="42" applyNumberFormat="1" applyFont="1" applyAlignment="1">
      <alignment horizontal="center"/>
    </xf>
    <xf numFmtId="37" fontId="5" fillId="0" borderId="0" xfId="42" applyNumberFormat="1" applyFont="1" applyFill="1" applyAlignment="1">
      <alignment horizontal="center"/>
    </xf>
    <xf numFmtId="37" fontId="42" fillId="0" borderId="0" xfId="42" applyNumberFormat="1" applyFont="1" applyAlignment="1">
      <alignment horizontal="center"/>
    </xf>
    <xf numFmtId="37" fontId="5" fillId="0" borderId="0" xfId="42" applyNumberFormat="1" applyFont="1" applyAlignment="1">
      <alignment horizontal="center"/>
    </xf>
    <xf numFmtId="1" fontId="18" fillId="0" borderId="0" xfId="42" applyNumberFormat="1" applyFont="1" applyFill="1" applyAlignment="1">
      <alignment horizontal="center"/>
    </xf>
    <xf numFmtId="1" fontId="4" fillId="0" borderId="0" xfId="42" applyNumberFormat="1" applyFont="1" applyFill="1" applyAlignment="1">
      <alignment horizontal="center"/>
    </xf>
    <xf numFmtId="1" fontId="5" fillId="0" borderId="0" xfId="42" applyNumberFormat="1" applyFont="1" applyFill="1" applyAlignment="1">
      <alignment horizontal="center"/>
    </xf>
    <xf numFmtId="1" fontId="6" fillId="0" borderId="0" xfId="42" applyNumberFormat="1" applyFont="1" applyFill="1" applyAlignment="1">
      <alignment horizontal="center"/>
    </xf>
    <xf numFmtId="1" fontId="2" fillId="0" borderId="0" xfId="42" applyNumberFormat="1" applyFont="1" applyAlignment="1">
      <alignment horizontal="center"/>
    </xf>
    <xf numFmtId="1" fontId="3" fillId="0" borderId="0" xfId="42" applyNumberFormat="1" applyFont="1" applyAlignment="1">
      <alignment horizontal="center"/>
    </xf>
    <xf numFmtId="1" fontId="6" fillId="0" borderId="0" xfId="42" applyNumberFormat="1" applyFont="1" applyAlignment="1">
      <alignment horizontal="center"/>
    </xf>
    <xf numFmtId="1" fontId="6" fillId="0" borderId="0" xfId="42" applyNumberFormat="1" applyFont="1" applyBorder="1" applyAlignment="1">
      <alignment horizontal="center"/>
    </xf>
    <xf numFmtId="1" fontId="2" fillId="0" borderId="0" xfId="42" applyNumberFormat="1" applyFont="1" applyBorder="1" applyAlignment="1">
      <alignment horizontal="center"/>
    </xf>
    <xf numFmtId="1" fontId="3" fillId="0" borderId="0" xfId="42" applyNumberFormat="1" applyFont="1" applyBorder="1" applyAlignment="1">
      <alignment horizontal="center"/>
    </xf>
    <xf numFmtId="1" fontId="32" fillId="0" borderId="0" xfId="42" applyNumberFormat="1" applyFont="1" applyBorder="1" applyAlignment="1">
      <alignment horizontal="center"/>
    </xf>
    <xf numFmtId="37" fontId="6" fillId="0" borderId="0" xfId="42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29" fillId="36" borderId="32" xfId="0" applyFont="1" applyFill="1" applyBorder="1" applyAlignment="1">
      <alignment horizontal="center"/>
    </xf>
    <xf numFmtId="0" fontId="29" fillId="36" borderId="13" xfId="0" applyFont="1" applyFill="1" applyBorder="1" applyAlignment="1">
      <alignment horizontal="center"/>
    </xf>
    <xf numFmtId="0" fontId="29" fillId="36" borderId="33" xfId="0" applyFont="1" applyFill="1" applyBorder="1" applyAlignment="1">
      <alignment horizontal="center"/>
    </xf>
    <xf numFmtId="0" fontId="29" fillId="37" borderId="13" xfId="0" applyFont="1" applyFill="1" applyBorder="1" applyAlignment="1">
      <alignment horizontal="center"/>
    </xf>
    <xf numFmtId="0" fontId="0" fillId="37" borderId="13" xfId="0" applyFill="1" applyBorder="1" applyAlignment="1">
      <alignment/>
    </xf>
    <xf numFmtId="0" fontId="0" fillId="37" borderId="33" xfId="0" applyFill="1" applyBorder="1" applyAlignment="1">
      <alignment/>
    </xf>
    <xf numFmtId="37" fontId="62" fillId="0" borderId="0" xfId="44" applyNumberFormat="1" applyFont="1" applyAlignment="1">
      <alignment horizontal="center"/>
    </xf>
    <xf numFmtId="37" fontId="63" fillId="0" borderId="0" xfId="44" applyNumberFormat="1" applyFont="1" applyAlignment="1">
      <alignment horizontal="center"/>
    </xf>
    <xf numFmtId="0" fontId="37" fillId="0" borderId="32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33" xfId="0" applyFont="1" applyFill="1" applyBorder="1" applyAlignment="1">
      <alignment horizontal="center"/>
    </xf>
    <xf numFmtId="0" fontId="37" fillId="36" borderId="34" xfId="0" applyFont="1" applyFill="1" applyBorder="1" applyAlignment="1">
      <alignment horizontal="center"/>
    </xf>
    <xf numFmtId="0" fontId="37" fillId="36" borderId="0" xfId="0" applyFont="1" applyFill="1" applyBorder="1" applyAlignment="1">
      <alignment horizontal="center"/>
    </xf>
    <xf numFmtId="0" fontId="37" fillId="37" borderId="34" xfId="0" applyFont="1" applyFill="1" applyBorder="1" applyAlignment="1">
      <alignment horizontal="center"/>
    </xf>
    <xf numFmtId="0" fontId="37" fillId="37" borderId="0" xfId="0" applyFont="1" applyFill="1" applyBorder="1" applyAlignment="1">
      <alignment horizontal="center"/>
    </xf>
    <xf numFmtId="0" fontId="37" fillId="37" borderId="35" xfId="0" applyFont="1" applyFill="1" applyBorder="1" applyAlignment="1">
      <alignment horizontal="center"/>
    </xf>
    <xf numFmtId="43" fontId="62" fillId="0" borderId="0" xfId="44" applyFont="1" applyAlignment="1">
      <alignment horizontal="center"/>
    </xf>
    <xf numFmtId="43" fontId="64" fillId="0" borderId="0" xfId="44" applyFont="1" applyAlignment="1">
      <alignment horizontal="center"/>
    </xf>
    <xf numFmtId="0" fontId="37" fillId="36" borderId="32" xfId="0" applyFont="1" applyFill="1" applyBorder="1" applyAlignment="1">
      <alignment horizontal="center"/>
    </xf>
    <xf numFmtId="0" fontId="37" fillId="36" borderId="13" xfId="0" applyFont="1" applyFill="1" applyBorder="1" applyAlignment="1">
      <alignment horizontal="center"/>
    </xf>
    <xf numFmtId="0" fontId="37" fillId="36" borderId="33" xfId="0" applyFont="1" applyFill="1" applyBorder="1" applyAlignment="1">
      <alignment horizontal="center"/>
    </xf>
    <xf numFmtId="0" fontId="37" fillId="37" borderId="32" xfId="0" applyFont="1" applyFill="1" applyBorder="1" applyAlignment="1">
      <alignment horizontal="center"/>
    </xf>
    <xf numFmtId="0" fontId="37" fillId="37" borderId="13" xfId="0" applyFont="1" applyFill="1" applyBorder="1" applyAlignment="1">
      <alignment horizontal="center"/>
    </xf>
    <xf numFmtId="0" fontId="37" fillId="37" borderId="33" xfId="0" applyFont="1" applyFill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33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1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94SEPTBL" xfId="58"/>
    <cellStyle name="Normal_FSR#0900" xfId="59"/>
    <cellStyle name="Normal_FSR(sept)" xfId="60"/>
    <cellStyle name="Normal_HEADCNT" xfId="61"/>
    <cellStyle name="Normal_JUNEFSR" xfId="62"/>
    <cellStyle name="Normal_OSDCOBJ" xfId="63"/>
    <cellStyle name="Normal_OSDCSUM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:E2"/>
    </sheetView>
  </sheetViews>
  <sheetFormatPr defaultColWidth="9.140625" defaultRowHeight="12.75"/>
  <cols>
    <col min="1" max="1" width="5.421875" style="0" customWidth="1"/>
    <col min="3" max="3" width="82.421875" style="0" customWidth="1"/>
    <col min="4" max="4" width="9.8515625" style="230" customWidth="1"/>
    <col min="5" max="5" width="1.421875" style="0" customWidth="1"/>
    <col min="6" max="6" width="5.421875" style="0" customWidth="1"/>
  </cols>
  <sheetData>
    <row r="1" ht="27" customHeight="1" thickBot="1"/>
    <row r="2" spans="2:5" s="224" customFormat="1" ht="24" customHeight="1" thickTop="1">
      <c r="B2" s="857" t="s">
        <v>389</v>
      </c>
      <c r="C2" s="858"/>
      <c r="D2" s="858"/>
      <c r="E2" s="859"/>
    </row>
    <row r="3" spans="2:5" s="224" customFormat="1" ht="24" customHeight="1">
      <c r="B3" s="863" t="s">
        <v>397</v>
      </c>
      <c r="C3" s="864"/>
      <c r="D3" s="864"/>
      <c r="E3" s="865"/>
    </row>
    <row r="4" spans="2:5" ht="22.5">
      <c r="B4" s="860" t="s">
        <v>313</v>
      </c>
      <c r="C4" s="861"/>
      <c r="D4" s="861"/>
      <c r="E4" s="862"/>
    </row>
    <row r="5" spans="2:5" ht="18">
      <c r="B5" s="244"/>
      <c r="C5" s="245"/>
      <c r="D5" s="241"/>
      <c r="E5" s="246"/>
    </row>
    <row r="6" spans="2:5" ht="18">
      <c r="B6" s="244"/>
      <c r="C6" s="245"/>
      <c r="D6" s="316" t="s">
        <v>314</v>
      </c>
      <c r="E6" s="246"/>
    </row>
    <row r="7" spans="2:5" ht="18">
      <c r="B7" s="244"/>
      <c r="C7" s="245"/>
      <c r="D7" s="316"/>
      <c r="E7" s="246"/>
    </row>
    <row r="8" spans="2:5" ht="18">
      <c r="B8" s="247"/>
      <c r="C8" s="242" t="s">
        <v>315</v>
      </c>
      <c r="D8" s="317">
        <v>1</v>
      </c>
      <c r="E8" s="248"/>
    </row>
    <row r="9" spans="2:5" ht="18">
      <c r="B9" s="247"/>
      <c r="C9" s="242"/>
      <c r="D9" s="317"/>
      <c r="E9" s="248"/>
    </row>
    <row r="10" spans="2:5" ht="18">
      <c r="B10" s="247"/>
      <c r="C10" s="250" t="s">
        <v>341</v>
      </c>
      <c r="D10" s="317"/>
      <c r="E10" s="248"/>
    </row>
    <row r="11" spans="2:5" ht="18">
      <c r="B11" s="247"/>
      <c r="C11" s="252" t="s">
        <v>351</v>
      </c>
      <c r="D11" s="317">
        <v>2</v>
      </c>
      <c r="E11" s="248"/>
    </row>
    <row r="12" spans="2:5" ht="18">
      <c r="B12" s="247"/>
      <c r="C12" s="242"/>
      <c r="D12" s="317"/>
      <c r="E12" s="248"/>
    </row>
    <row r="13" spans="2:5" ht="18">
      <c r="B13" s="247"/>
      <c r="C13" s="250" t="s">
        <v>402</v>
      </c>
      <c r="D13" s="243">
        <v>3</v>
      </c>
      <c r="E13" s="248"/>
    </row>
    <row r="14" spans="2:5" ht="18">
      <c r="B14" s="249"/>
      <c r="C14" s="252"/>
      <c r="D14" s="243"/>
      <c r="E14" s="251"/>
    </row>
    <row r="15" spans="2:5" ht="18">
      <c r="B15" s="249"/>
      <c r="C15" s="250" t="s">
        <v>316</v>
      </c>
      <c r="D15" s="243"/>
      <c r="E15" s="251"/>
    </row>
    <row r="16" spans="2:5" ht="18">
      <c r="B16" s="249"/>
      <c r="C16" s="252" t="s">
        <v>352</v>
      </c>
      <c r="D16" s="243">
        <v>4</v>
      </c>
      <c r="E16" s="251"/>
    </row>
    <row r="17" spans="2:5" ht="18">
      <c r="B17" s="249"/>
      <c r="C17" s="252" t="s">
        <v>353</v>
      </c>
      <c r="D17" s="243">
        <v>7</v>
      </c>
      <c r="E17" s="251"/>
    </row>
    <row r="18" spans="2:5" ht="18">
      <c r="B18" s="249"/>
      <c r="C18" s="250"/>
      <c r="D18" s="243"/>
      <c r="E18" s="251"/>
    </row>
    <row r="19" spans="2:5" ht="18">
      <c r="B19" s="249"/>
      <c r="C19" s="250" t="s">
        <v>387</v>
      </c>
      <c r="D19" s="243"/>
      <c r="E19" s="251"/>
    </row>
    <row r="20" spans="2:5" ht="18">
      <c r="B20" s="249"/>
      <c r="C20" s="252" t="s">
        <v>354</v>
      </c>
      <c r="D20" s="243">
        <v>9</v>
      </c>
      <c r="E20" s="251"/>
    </row>
    <row r="21" spans="2:5" ht="18">
      <c r="B21" s="249"/>
      <c r="C21" s="252" t="s">
        <v>355</v>
      </c>
      <c r="D21" s="243">
        <v>10</v>
      </c>
      <c r="E21" s="251"/>
    </row>
    <row r="22" spans="2:5" ht="18">
      <c r="B22" s="249"/>
      <c r="C22" s="252" t="s">
        <v>356</v>
      </c>
      <c r="D22" s="243">
        <v>11</v>
      </c>
      <c r="E22" s="251"/>
    </row>
    <row r="23" spans="2:5" ht="18">
      <c r="B23" s="249"/>
      <c r="C23" s="250"/>
      <c r="D23" s="243"/>
      <c r="E23" s="251"/>
    </row>
    <row r="24" spans="2:5" s="224" customFormat="1" ht="18">
      <c r="B24" s="249"/>
      <c r="C24" s="250" t="s">
        <v>398</v>
      </c>
      <c r="D24" s="243"/>
      <c r="E24" s="251"/>
    </row>
    <row r="25" spans="2:5" ht="18">
      <c r="B25" s="249"/>
      <c r="C25" s="252" t="s">
        <v>399</v>
      </c>
      <c r="D25" s="243">
        <v>12</v>
      </c>
      <c r="E25" s="251"/>
    </row>
    <row r="26" spans="2:5" ht="18">
      <c r="B26" s="249"/>
      <c r="C26" s="252" t="s">
        <v>400</v>
      </c>
      <c r="D26" s="243">
        <v>13</v>
      </c>
      <c r="E26" s="251"/>
    </row>
    <row r="27" spans="2:5" ht="18">
      <c r="B27" s="249"/>
      <c r="C27" s="252" t="s">
        <v>401</v>
      </c>
      <c r="D27" s="243">
        <v>14</v>
      </c>
      <c r="E27" s="251"/>
    </row>
    <row r="28" spans="2:5" ht="18">
      <c r="B28" s="249"/>
      <c r="C28" s="250"/>
      <c r="D28" s="243"/>
      <c r="E28" s="251"/>
    </row>
    <row r="29" spans="2:5" ht="18">
      <c r="B29" s="249"/>
      <c r="C29" s="250"/>
      <c r="D29" s="243"/>
      <c r="E29" s="251"/>
    </row>
    <row r="30" spans="2:5" ht="18">
      <c r="B30" s="249"/>
      <c r="C30" s="250"/>
      <c r="D30" s="243"/>
      <c r="E30" s="251"/>
    </row>
    <row r="31" spans="2:5" ht="18">
      <c r="B31" s="249"/>
      <c r="C31" s="250"/>
      <c r="D31" s="243"/>
      <c r="E31" s="251"/>
    </row>
    <row r="32" spans="2:5" ht="18">
      <c r="B32" s="249"/>
      <c r="C32" s="250"/>
      <c r="D32" s="243"/>
      <c r="E32" s="251"/>
    </row>
    <row r="33" spans="2:5" ht="18">
      <c r="B33" s="249"/>
      <c r="C33" s="250"/>
      <c r="D33" s="243"/>
      <c r="E33" s="251"/>
    </row>
    <row r="34" spans="2:5" ht="15.75" thickBot="1">
      <c r="B34" s="353"/>
      <c r="C34" s="354"/>
      <c r="D34" s="355"/>
      <c r="E34" s="356"/>
    </row>
    <row r="35" ht="15.75" thickTop="1"/>
  </sheetData>
  <sheetProtection/>
  <mergeCells count="3">
    <mergeCell ref="B2:E2"/>
    <mergeCell ref="B4:E4"/>
    <mergeCell ref="B3:E3"/>
  </mergeCells>
  <printOptions horizontalCentered="1"/>
  <pageMargins left="0" right="0" top="1" bottom="1" header="0.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4.421875" style="136" customWidth="1"/>
    <col min="2" max="2" width="49.00390625" style="130" customWidth="1"/>
    <col min="3" max="3" width="13.421875" style="136" customWidth="1"/>
    <col min="4" max="4" width="12.28125" style="136" customWidth="1"/>
    <col min="5" max="5" width="10.421875" style="136" customWidth="1"/>
    <col min="6" max="6" width="12.7109375" style="136" customWidth="1"/>
    <col min="7" max="7" width="8.28125" style="136" customWidth="1"/>
    <col min="8" max="8" width="13.28125" style="136" customWidth="1"/>
    <col min="9" max="16384" width="9.140625" style="130" customWidth="1"/>
  </cols>
  <sheetData>
    <row r="1" spans="1:8" ht="20.25">
      <c r="A1" s="879" t="s">
        <v>180</v>
      </c>
      <c r="B1" s="879"/>
      <c r="C1" s="879"/>
      <c r="D1" s="879"/>
      <c r="E1" s="879"/>
      <c r="F1" s="879"/>
      <c r="G1" s="879"/>
      <c r="H1" s="879"/>
    </row>
    <row r="2" spans="1:8" ht="18.75">
      <c r="A2" s="880" t="s">
        <v>325</v>
      </c>
      <c r="B2" s="880"/>
      <c r="C2" s="880"/>
      <c r="D2" s="880"/>
      <c r="E2" s="880"/>
      <c r="F2" s="880"/>
      <c r="G2" s="880"/>
      <c r="H2" s="880"/>
    </row>
    <row r="3" spans="1:8" ht="18.75">
      <c r="A3" s="880" t="s">
        <v>326</v>
      </c>
      <c r="B3" s="880"/>
      <c r="C3" s="880"/>
      <c r="D3" s="880"/>
      <c r="E3" s="880"/>
      <c r="F3" s="880"/>
      <c r="G3" s="880"/>
      <c r="H3" s="880"/>
    </row>
    <row r="4" spans="1:8" ht="15.75">
      <c r="A4" s="881" t="s">
        <v>551</v>
      </c>
      <c r="B4" s="881"/>
      <c r="C4" s="881"/>
      <c r="D4" s="881"/>
      <c r="E4" s="881"/>
      <c r="F4" s="881"/>
      <c r="G4" s="881"/>
      <c r="H4" s="881"/>
    </row>
    <row r="5" spans="1:8" ht="12">
      <c r="A5" s="878" t="s">
        <v>12</v>
      </c>
      <c r="B5" s="878"/>
      <c r="C5" s="878"/>
      <c r="D5" s="878"/>
      <c r="E5" s="878"/>
      <c r="F5" s="878"/>
      <c r="G5" s="878"/>
      <c r="H5" s="878"/>
    </row>
    <row r="6" spans="1:8" ht="12">
      <c r="A6" s="39"/>
      <c r="B6" s="39"/>
      <c r="C6" s="39"/>
      <c r="D6" s="39"/>
      <c r="E6" s="39"/>
      <c r="F6" s="39"/>
      <c r="G6" s="39"/>
      <c r="H6" s="39"/>
    </row>
    <row r="7" spans="1:8" ht="12">
      <c r="A7" s="39"/>
      <c r="B7" s="39"/>
      <c r="C7" s="39"/>
      <c r="D7" s="39"/>
      <c r="E7" s="39"/>
      <c r="F7" s="39"/>
      <c r="G7" s="39"/>
      <c r="H7" s="39"/>
    </row>
    <row r="8" spans="1:8" ht="12.75">
      <c r="A8" s="6"/>
      <c r="B8" s="155" t="s">
        <v>1</v>
      </c>
      <c r="C8" s="156"/>
      <c r="D8" s="156"/>
      <c r="E8" s="156"/>
      <c r="F8" s="156"/>
      <c r="G8" s="156"/>
      <c r="H8" s="156"/>
    </row>
    <row r="9" spans="1:8" ht="6" customHeight="1">
      <c r="A9" s="151" t="s">
        <v>1</v>
      </c>
      <c r="B9" s="154"/>
      <c r="C9" s="152"/>
      <c r="D9" s="747"/>
      <c r="E9" s="153"/>
      <c r="F9" s="152"/>
      <c r="G9" s="152"/>
      <c r="H9" s="152"/>
    </row>
    <row r="10" spans="1:8" ht="12">
      <c r="A10" s="151"/>
      <c r="B10" s="154"/>
      <c r="C10" s="855" t="s">
        <v>390</v>
      </c>
      <c r="D10" s="748"/>
      <c r="F10" s="133"/>
      <c r="G10" s="254"/>
      <c r="H10" s="152"/>
    </row>
    <row r="11" spans="1:8" ht="12">
      <c r="A11" s="131"/>
      <c r="B11" s="132"/>
      <c r="C11" s="133" t="s">
        <v>357</v>
      </c>
      <c r="D11" s="749" t="s">
        <v>262</v>
      </c>
      <c r="F11" s="133" t="s">
        <v>86</v>
      </c>
      <c r="G11" s="130"/>
      <c r="H11" s="130"/>
    </row>
    <row r="12" spans="1:8" ht="12">
      <c r="A12" s="131"/>
      <c r="B12" s="132"/>
      <c r="C12" s="133" t="s">
        <v>296</v>
      </c>
      <c r="D12" s="749" t="s">
        <v>182</v>
      </c>
      <c r="E12" s="133" t="s">
        <v>181</v>
      </c>
      <c r="F12" s="133" t="s">
        <v>307</v>
      </c>
      <c r="G12" s="133" t="s">
        <v>327</v>
      </c>
      <c r="H12" s="58" t="s">
        <v>85</v>
      </c>
    </row>
    <row r="13" spans="1:8" ht="12.75">
      <c r="A13" s="134" t="s">
        <v>4</v>
      </c>
      <c r="B13" s="134"/>
      <c r="C13" s="133" t="s">
        <v>5</v>
      </c>
      <c r="D13" s="750" t="s">
        <v>358</v>
      </c>
      <c r="E13" s="133" t="s">
        <v>183</v>
      </c>
      <c r="F13" s="352">
        <v>42309</v>
      </c>
      <c r="G13" s="133" t="s">
        <v>328</v>
      </c>
      <c r="H13" s="58" t="s">
        <v>87</v>
      </c>
    </row>
    <row r="14" spans="4:7" ht="6" customHeight="1">
      <c r="D14" s="748"/>
      <c r="F14" s="137"/>
      <c r="G14" s="137"/>
    </row>
    <row r="15" spans="1:8" ht="11.25">
      <c r="A15" s="138"/>
      <c r="B15" s="139"/>
      <c r="C15" s="138"/>
      <c r="D15" s="751"/>
      <c r="E15" s="138"/>
      <c r="F15" s="140"/>
      <c r="G15" s="140"/>
      <c r="H15" s="138"/>
    </row>
    <row r="16" spans="1:8" s="145" customFormat="1" ht="12">
      <c r="A16" s="141">
        <v>401</v>
      </c>
      <c r="B16" s="146" t="s">
        <v>266</v>
      </c>
      <c r="C16" s="255">
        <f>+'City Approved'!I14/1000</f>
        <v>5849851.95</v>
      </c>
      <c r="D16" s="296">
        <v>65216</v>
      </c>
      <c r="E16" s="296">
        <v>225349.795</v>
      </c>
      <c r="F16" s="255">
        <v>1243423.987</v>
      </c>
      <c r="G16" s="256">
        <f>F16/C16</f>
        <v>0.2125564882030903</v>
      </c>
      <c r="H16" s="255">
        <f>C16-F16</f>
        <v>4606427.963</v>
      </c>
    </row>
    <row r="17" spans="1:8" s="145" customFormat="1" ht="3.75" customHeight="1">
      <c r="A17" s="141"/>
      <c r="B17" s="146"/>
      <c r="C17" s="189"/>
      <c r="D17" s="752"/>
      <c r="E17" s="194"/>
      <c r="F17" s="189"/>
      <c r="G17" s="256"/>
      <c r="H17" s="147"/>
    </row>
    <row r="18" spans="1:8" ht="12">
      <c r="A18" s="141">
        <v>402</v>
      </c>
      <c r="B18" s="15" t="s">
        <v>267</v>
      </c>
      <c r="C18" s="147">
        <f>+'City Approved'!I15/1000</f>
        <v>761861.373</v>
      </c>
      <c r="D18" s="296">
        <v>0</v>
      </c>
      <c r="E18" s="296">
        <v>0</v>
      </c>
      <c r="F18" s="147">
        <v>266021.097</v>
      </c>
      <c r="G18" s="157">
        <f>F18/C18</f>
        <v>0.34917257447044764</v>
      </c>
      <c r="H18" s="258">
        <f>C18-F18</f>
        <v>495840.276</v>
      </c>
    </row>
    <row r="19" spans="1:8" s="145" customFormat="1" ht="3.75" customHeight="1">
      <c r="A19" s="141"/>
      <c r="B19" s="146"/>
      <c r="C19" s="189"/>
      <c r="D19" s="752"/>
      <c r="E19" s="194"/>
      <c r="F19" s="189"/>
      <c r="G19" s="256"/>
      <c r="H19" s="147"/>
    </row>
    <row r="20" spans="1:8" s="145" customFormat="1" ht="12">
      <c r="A20" s="141">
        <v>403</v>
      </c>
      <c r="B20" s="83" t="s">
        <v>264</v>
      </c>
      <c r="C20" s="189">
        <f>+'City Approved'!I16/1000</f>
        <v>1403952.074</v>
      </c>
      <c r="D20" s="296">
        <v>24602</v>
      </c>
      <c r="E20" s="296">
        <v>58521.818</v>
      </c>
      <c r="F20" s="189">
        <v>292601.207</v>
      </c>
      <c r="G20" s="256">
        <f>F20/C20</f>
        <v>0.20841253232124218</v>
      </c>
      <c r="H20" s="147">
        <f>C20-F20</f>
        <v>1111350.867</v>
      </c>
    </row>
    <row r="21" spans="1:8" s="145" customFormat="1" ht="3.75" customHeight="1">
      <c r="A21" s="141"/>
      <c r="B21" s="83"/>
      <c r="C21" s="189"/>
      <c r="D21" s="752"/>
      <c r="E21" s="194"/>
      <c r="F21" s="189"/>
      <c r="G21" s="256"/>
      <c r="H21" s="147"/>
    </row>
    <row r="22" spans="1:8" ht="12">
      <c r="A22" s="141">
        <v>404</v>
      </c>
      <c r="B22" s="21" t="s">
        <v>265</v>
      </c>
      <c r="C22" s="147">
        <f>+'City Approved'!I17/1000</f>
        <v>4149.878</v>
      </c>
      <c r="D22" s="296">
        <v>0</v>
      </c>
      <c r="E22" s="296">
        <v>0</v>
      </c>
      <c r="F22" s="147">
        <v>1194.698</v>
      </c>
      <c r="G22" s="157">
        <f>F22/C22</f>
        <v>0.2878874993433542</v>
      </c>
      <c r="H22" s="258">
        <f>C22-F22</f>
        <v>2955.1799999999994</v>
      </c>
    </row>
    <row r="23" spans="1:8" s="145" customFormat="1" ht="3.75" customHeight="1">
      <c r="A23" s="141"/>
      <c r="B23" s="83"/>
      <c r="C23" s="189"/>
      <c r="D23" s="752"/>
      <c r="E23" s="194"/>
      <c r="F23" s="189"/>
      <c r="G23" s="256"/>
      <c r="H23" s="147"/>
    </row>
    <row r="24" spans="1:8" s="145" customFormat="1" ht="12" customHeight="1">
      <c r="A24" s="141">
        <v>406</v>
      </c>
      <c r="B24" s="225" t="s">
        <v>373</v>
      </c>
      <c r="C24" s="189">
        <f>+'City Approved'!I18/1000</f>
        <v>1476587.588</v>
      </c>
      <c r="D24" s="296">
        <v>0</v>
      </c>
      <c r="E24" s="296">
        <v>0</v>
      </c>
      <c r="F24" s="189">
        <v>1462468.423</v>
      </c>
      <c r="G24" s="256">
        <f>F24/C24</f>
        <v>0.9904379766464622</v>
      </c>
      <c r="H24" s="147">
        <f>C24-F24</f>
        <v>14119.165000000037</v>
      </c>
    </row>
    <row r="25" spans="1:8" s="145" customFormat="1" ht="3.75" customHeight="1">
      <c r="A25" s="141"/>
      <c r="B25" s="379"/>
      <c r="C25" s="189"/>
      <c r="D25" s="752"/>
      <c r="E25" s="194"/>
      <c r="F25" s="189"/>
      <c r="G25" s="256"/>
      <c r="H25" s="147"/>
    </row>
    <row r="26" spans="1:8" s="145" customFormat="1" ht="12" customHeight="1">
      <c r="A26" s="141">
        <v>407</v>
      </c>
      <c r="B26" s="379" t="s">
        <v>391</v>
      </c>
      <c r="C26" s="189">
        <f>+'City Approved'!I19/1000</f>
        <v>385508.464</v>
      </c>
      <c r="D26" s="296">
        <v>4453</v>
      </c>
      <c r="E26" s="296">
        <v>12026.78</v>
      </c>
      <c r="F26" s="189">
        <v>62094.203</v>
      </c>
      <c r="G26" s="256">
        <f>F26/C26</f>
        <v>0.1610709200926909</v>
      </c>
      <c r="H26" s="147">
        <f>C26-F26</f>
        <v>323414.261</v>
      </c>
    </row>
    <row r="27" spans="1:8" s="145" customFormat="1" ht="3" customHeight="1">
      <c r="A27" s="141"/>
      <c r="B27" s="379"/>
      <c r="C27" s="189"/>
      <c r="D27" s="752"/>
      <c r="E27" s="194"/>
      <c r="F27" s="189"/>
      <c r="G27" s="256"/>
      <c r="H27" s="147"/>
    </row>
    <row r="28" spans="1:8" s="145" customFormat="1" ht="12" customHeight="1">
      <c r="A28" s="141">
        <v>408</v>
      </c>
      <c r="B28" s="379" t="s">
        <v>392</v>
      </c>
      <c r="C28" s="189">
        <f>+'City Approved'!I20/1000</f>
        <v>423370.588</v>
      </c>
      <c r="D28" s="296">
        <v>0</v>
      </c>
      <c r="E28" s="296">
        <v>0</v>
      </c>
      <c r="F28" s="189">
        <v>265016.643</v>
      </c>
      <c r="G28" s="256">
        <f>F28/C28</f>
        <v>0.625968478944031</v>
      </c>
      <c r="H28" s="147">
        <f>C28-F28</f>
        <v>158353.945</v>
      </c>
    </row>
    <row r="29" spans="1:8" s="145" customFormat="1" ht="3" customHeight="1">
      <c r="A29" s="141"/>
      <c r="B29" s="379"/>
      <c r="C29" s="189"/>
      <c r="D29" s="752"/>
      <c r="E29" s="194"/>
      <c r="F29" s="189"/>
      <c r="G29" s="256"/>
      <c r="H29" s="147"/>
    </row>
    <row r="30" spans="1:8" s="145" customFormat="1" ht="12">
      <c r="A30" s="141">
        <v>415</v>
      </c>
      <c r="B30" s="225" t="s">
        <v>323</v>
      </c>
      <c r="C30" s="189">
        <f>+'City Approved'!I21/1000</f>
        <v>261629.214</v>
      </c>
      <c r="D30" s="296">
        <v>2433</v>
      </c>
      <c r="E30" s="296">
        <v>8924.492</v>
      </c>
      <c r="F30" s="189">
        <v>75043.483</v>
      </c>
      <c r="G30" s="256">
        <f>F30/C30</f>
        <v>0.2868314354221925</v>
      </c>
      <c r="H30" s="147">
        <f>C30-F30</f>
        <v>186585.73100000003</v>
      </c>
    </row>
    <row r="31" spans="1:8" s="145" customFormat="1" ht="3.75" customHeight="1">
      <c r="A31" s="141"/>
      <c r="B31" s="70"/>
      <c r="C31" s="189"/>
      <c r="D31" s="750"/>
      <c r="E31" s="135"/>
      <c r="F31" s="189"/>
      <c r="G31" s="256"/>
      <c r="H31" s="147"/>
    </row>
    <row r="32" spans="1:8" ht="12">
      <c r="A32" s="141">
        <v>416</v>
      </c>
      <c r="B32" s="21" t="s">
        <v>324</v>
      </c>
      <c r="C32" s="147">
        <f>+'City Approved'!I22/1000</f>
        <v>27679.995</v>
      </c>
      <c r="D32" s="350">
        <v>0</v>
      </c>
      <c r="E32" s="257">
        <v>0</v>
      </c>
      <c r="F32" s="147">
        <v>14403.189</v>
      </c>
      <c r="G32" s="157">
        <f>F32/C32</f>
        <v>0.5203465174036339</v>
      </c>
      <c r="H32" s="258">
        <f>C32-F32</f>
        <v>13276.805999999999</v>
      </c>
    </row>
    <row r="33" spans="1:8" s="145" customFormat="1" ht="3.75" customHeight="1">
      <c r="A33" s="141"/>
      <c r="B33" s="70"/>
      <c r="C33" s="189"/>
      <c r="D33" s="750"/>
      <c r="E33" s="135"/>
      <c r="F33" s="189"/>
      <c r="G33" s="256"/>
      <c r="H33" s="147"/>
    </row>
    <row r="34" spans="1:8" s="145" customFormat="1" ht="12">
      <c r="A34" s="141">
        <v>421</v>
      </c>
      <c r="B34" s="83" t="s">
        <v>263</v>
      </c>
      <c r="C34" s="189">
        <f>+'City Approved'!I23/1000</f>
        <v>956557.879</v>
      </c>
      <c r="D34" s="296">
        <v>14624</v>
      </c>
      <c r="E34" s="296">
        <v>34382.045</v>
      </c>
      <c r="F34" s="189">
        <v>222587.148</v>
      </c>
      <c r="G34" s="256">
        <f>F34/C34</f>
        <v>0.23269595378033575</v>
      </c>
      <c r="H34" s="147">
        <f>C34-F34</f>
        <v>733970.7309999999</v>
      </c>
    </row>
    <row r="35" spans="1:8" s="145" customFormat="1" ht="3.75" customHeight="1">
      <c r="A35" s="141"/>
      <c r="B35" s="83"/>
      <c r="C35" s="189"/>
      <c r="D35" s="750"/>
      <c r="E35" s="135"/>
      <c r="F35" s="189"/>
      <c r="G35" s="256"/>
      <c r="H35" s="147"/>
    </row>
    <row r="36" spans="1:8" ht="12">
      <c r="A36" s="141">
        <v>422</v>
      </c>
      <c r="B36" s="21" t="s">
        <v>268</v>
      </c>
      <c r="C36" s="147">
        <f>+'City Approved'!I24/1000</f>
        <v>21004.246</v>
      </c>
      <c r="D36" s="350">
        <v>0</v>
      </c>
      <c r="E36" s="257">
        <v>0</v>
      </c>
      <c r="F36" s="147">
        <v>8221.111</v>
      </c>
      <c r="G36" s="157">
        <f>F36/C36</f>
        <v>0.3914023383653001</v>
      </c>
      <c r="H36" s="147">
        <f>C36-F36</f>
        <v>12783.134999999998</v>
      </c>
    </row>
    <row r="37" spans="1:8" s="145" customFormat="1" ht="3.75" customHeight="1">
      <c r="A37" s="141"/>
      <c r="B37" s="83"/>
      <c r="C37" s="189"/>
      <c r="D37" s="750"/>
      <c r="E37" s="135"/>
      <c r="F37" s="189"/>
      <c r="G37" s="256"/>
      <c r="H37" s="147"/>
    </row>
    <row r="38" spans="1:8" s="145" customFormat="1" ht="12">
      <c r="A38" s="141">
        <v>423</v>
      </c>
      <c r="B38" s="21" t="s">
        <v>269</v>
      </c>
      <c r="C38" s="189">
        <f>+'City Approved'!I25/1000</f>
        <v>273851.652</v>
      </c>
      <c r="D38" s="296">
        <v>3000</v>
      </c>
      <c r="E38" s="296">
        <v>9786.245</v>
      </c>
      <c r="F38" s="189">
        <v>62653.029</v>
      </c>
      <c r="G38" s="256">
        <f>F38/C38</f>
        <v>0.2287845574143186</v>
      </c>
      <c r="H38" s="147">
        <f>C38-F38</f>
        <v>211198.623</v>
      </c>
    </row>
    <row r="39" spans="1:8" s="145" customFormat="1" ht="3.75" customHeight="1">
      <c r="A39" s="141"/>
      <c r="B39" s="21"/>
      <c r="C39" s="189"/>
      <c r="D39" s="750"/>
      <c r="E39" s="135"/>
      <c r="F39" s="189"/>
      <c r="G39" s="256"/>
      <c r="H39" s="147"/>
    </row>
    <row r="40" spans="1:8" ht="12">
      <c r="A40" s="141">
        <v>424</v>
      </c>
      <c r="B40" s="21" t="s">
        <v>270</v>
      </c>
      <c r="C40" s="189">
        <f>+'City Approved'!I26/1000</f>
        <v>230036.818</v>
      </c>
      <c r="D40" s="350">
        <v>0</v>
      </c>
      <c r="E40" s="257">
        <v>0</v>
      </c>
      <c r="F40" s="281">
        <v>120474.074</v>
      </c>
      <c r="G40" s="157">
        <f>F40/C40</f>
        <v>0.5237164861148444</v>
      </c>
      <c r="H40" s="258">
        <f>C40-F40</f>
        <v>109562.744</v>
      </c>
    </row>
    <row r="41" spans="1:8" s="145" customFormat="1" ht="3.75" customHeight="1">
      <c r="A41" s="141"/>
      <c r="B41" s="21"/>
      <c r="C41" s="189"/>
      <c r="D41" s="750"/>
      <c r="E41" s="135"/>
      <c r="F41" s="189"/>
      <c r="G41" s="256"/>
      <c r="H41" s="147"/>
    </row>
    <row r="42" spans="1:8" s="145" customFormat="1" ht="12">
      <c r="A42" s="141">
        <v>435</v>
      </c>
      <c r="B42" s="21" t="s">
        <v>271</v>
      </c>
      <c r="C42" s="189">
        <f>+'City Approved'!I27/1000</f>
        <v>440484.671</v>
      </c>
      <c r="D42" s="296">
        <v>604</v>
      </c>
      <c r="E42" s="296">
        <v>14350.746</v>
      </c>
      <c r="F42" s="189">
        <v>167216.19</v>
      </c>
      <c r="G42" s="256">
        <f>F42/C42</f>
        <v>0.3796186360364854</v>
      </c>
      <c r="H42" s="147">
        <f>C42-F42</f>
        <v>273268.48099999997</v>
      </c>
    </row>
    <row r="43" spans="1:8" s="145" customFormat="1" ht="3.75" customHeight="1">
      <c r="A43" s="141"/>
      <c r="B43" s="21"/>
      <c r="C43" s="189"/>
      <c r="D43" s="750"/>
      <c r="E43" s="135"/>
      <c r="F43" s="189"/>
      <c r="G43" s="256"/>
      <c r="H43" s="147"/>
    </row>
    <row r="44" spans="1:8" ht="12">
      <c r="A44" s="141">
        <v>436</v>
      </c>
      <c r="B44" s="21" t="s">
        <v>272</v>
      </c>
      <c r="C44" s="189">
        <f>+'City Approved'!I28/1000</f>
        <v>316296.661</v>
      </c>
      <c r="D44" s="350">
        <v>0</v>
      </c>
      <c r="E44" s="257">
        <v>0</v>
      </c>
      <c r="F44" s="147">
        <v>157271.789</v>
      </c>
      <c r="G44" s="157">
        <f>F44/C44</f>
        <v>0.49722873615791974</v>
      </c>
      <c r="H44" s="258">
        <f>C44-F44</f>
        <v>159024.87200000003</v>
      </c>
    </row>
    <row r="45" spans="1:8" s="145" customFormat="1" ht="3.75" customHeight="1">
      <c r="A45" s="141"/>
      <c r="B45" s="21"/>
      <c r="C45" s="189"/>
      <c r="D45" s="750"/>
      <c r="E45" s="135"/>
      <c r="F45" s="189"/>
      <c r="G45" s="256"/>
      <c r="H45" s="147"/>
    </row>
    <row r="46" spans="1:8" ht="12">
      <c r="A46" s="141">
        <v>438</v>
      </c>
      <c r="B46" s="21" t="s">
        <v>273</v>
      </c>
      <c r="C46" s="189">
        <f>+'City Approved'!I29/1000</f>
        <v>1147075.717</v>
      </c>
      <c r="D46" s="350">
        <v>0</v>
      </c>
      <c r="E46" s="257">
        <v>0</v>
      </c>
      <c r="F46" s="147">
        <v>983286.295</v>
      </c>
      <c r="G46" s="157">
        <f>F46/C46</f>
        <v>0.857211324786505</v>
      </c>
      <c r="H46" s="258">
        <f>C46-F46</f>
        <v>163789.4219999999</v>
      </c>
    </row>
    <row r="47" spans="1:8" s="145" customFormat="1" ht="3.75" customHeight="1">
      <c r="A47" s="141"/>
      <c r="B47" s="21"/>
      <c r="C47" s="189"/>
      <c r="D47" s="750"/>
      <c r="E47" s="135"/>
      <c r="F47" s="189"/>
      <c r="G47" s="256"/>
      <c r="H47" s="147"/>
    </row>
    <row r="48" spans="1:8" s="145" customFormat="1" ht="12" customHeight="1">
      <c r="A48" s="141">
        <v>439</v>
      </c>
      <c r="B48" s="21" t="s">
        <v>274</v>
      </c>
      <c r="C48" s="189">
        <f>+'City Approved'!I30/1000</f>
        <v>211712.288</v>
      </c>
      <c r="D48" s="296">
        <v>1708</v>
      </c>
      <c r="E48" s="296">
        <v>7679.76</v>
      </c>
      <c r="F48" s="189">
        <v>37236.988</v>
      </c>
      <c r="G48" s="256">
        <f>F48/C48</f>
        <v>0.1758848688083707</v>
      </c>
      <c r="H48" s="147">
        <f>C48-F48</f>
        <v>174475.3</v>
      </c>
    </row>
    <row r="49" spans="1:8" s="145" customFormat="1" ht="3.75" customHeight="1">
      <c r="A49" s="141"/>
      <c r="B49" s="21"/>
      <c r="C49" s="189"/>
      <c r="D49" s="750"/>
      <c r="E49" s="135"/>
      <c r="F49" s="189"/>
      <c r="G49" s="256"/>
      <c r="H49" s="147"/>
    </row>
    <row r="50" spans="1:8" ht="12">
      <c r="A50" s="141">
        <v>440</v>
      </c>
      <c r="B50" s="21" t="s">
        <v>275</v>
      </c>
      <c r="C50" s="189">
        <f>+'City Approved'!I31/1000</f>
        <v>274605.108</v>
      </c>
      <c r="D50" s="350">
        <v>0</v>
      </c>
      <c r="E50" s="257">
        <v>0</v>
      </c>
      <c r="F50" s="147">
        <v>129041.641</v>
      </c>
      <c r="G50" s="157">
        <f>F50/C50</f>
        <v>0.46991711822053944</v>
      </c>
      <c r="H50" s="258">
        <f>C50-F50</f>
        <v>145563.467</v>
      </c>
    </row>
    <row r="51" spans="1:8" s="145" customFormat="1" ht="3.75" customHeight="1">
      <c r="A51" s="141"/>
      <c r="B51" s="21"/>
      <c r="C51" s="189"/>
      <c r="D51" s="750"/>
      <c r="E51" s="135"/>
      <c r="F51" s="189"/>
      <c r="G51" s="256"/>
      <c r="H51" s="147"/>
    </row>
    <row r="52" spans="1:8" ht="12">
      <c r="A52" s="141">
        <v>442</v>
      </c>
      <c r="B52" s="21" t="s">
        <v>329</v>
      </c>
      <c r="C52" s="189">
        <f>+'City Approved'!I32/1000</f>
        <v>335713.885</v>
      </c>
      <c r="D52" s="350">
        <v>0</v>
      </c>
      <c r="E52" s="257">
        <v>0</v>
      </c>
      <c r="F52" s="147">
        <v>54959.75018</v>
      </c>
      <c r="G52" s="157">
        <f>F52/C52</f>
        <v>0.16371008956034094</v>
      </c>
      <c r="H52" s="258">
        <f>C52-F52</f>
        <v>280754.13482000004</v>
      </c>
    </row>
    <row r="53" spans="1:8" s="145" customFormat="1" ht="3.75" customHeight="1">
      <c r="A53" s="141"/>
      <c r="B53" s="21"/>
      <c r="C53" s="189"/>
      <c r="D53" s="750"/>
      <c r="E53" s="135"/>
      <c r="F53" s="231"/>
      <c r="G53" s="256"/>
      <c r="H53" s="147"/>
    </row>
    <row r="54" spans="1:8" ht="12">
      <c r="A54" s="141">
        <v>444</v>
      </c>
      <c r="B54" s="21" t="s">
        <v>277</v>
      </c>
      <c r="C54" s="189">
        <f>+'City Approved'!I33/1000</f>
        <v>498066.494</v>
      </c>
      <c r="D54" s="350">
        <v>0</v>
      </c>
      <c r="E54" s="257">
        <v>0</v>
      </c>
      <c r="F54" s="281">
        <v>243808.761</v>
      </c>
      <c r="G54" s="157">
        <f>F54/C54</f>
        <v>0.4895104648416683</v>
      </c>
      <c r="H54" s="258">
        <f>C54-F54</f>
        <v>254257.733</v>
      </c>
    </row>
    <row r="55" spans="1:8" s="145" customFormat="1" ht="3.75" customHeight="1">
      <c r="A55" s="141"/>
      <c r="B55" s="21"/>
      <c r="C55" s="189"/>
      <c r="D55" s="750"/>
      <c r="E55" s="135"/>
      <c r="F55" s="189"/>
      <c r="G55" s="256"/>
      <c r="H55" s="147"/>
    </row>
    <row r="56" spans="1:8" s="145" customFormat="1" ht="12">
      <c r="A56" s="141">
        <v>453</v>
      </c>
      <c r="B56" s="21" t="s">
        <v>279</v>
      </c>
      <c r="C56" s="189">
        <f>+'City Approved'!I34/1000</f>
        <v>174944.339</v>
      </c>
      <c r="D56" s="296">
        <v>1971</v>
      </c>
      <c r="E56" s="296">
        <v>6195.396</v>
      </c>
      <c r="F56" s="189">
        <v>51684.059</v>
      </c>
      <c r="G56" s="256">
        <f>F56/C56</f>
        <v>0.29543144576973135</v>
      </c>
      <c r="H56" s="147">
        <f>C56-F56</f>
        <v>123260.28</v>
      </c>
    </row>
    <row r="57" spans="1:8" s="145" customFormat="1" ht="3.75" customHeight="1">
      <c r="A57" s="141"/>
      <c r="B57" s="21"/>
      <c r="C57" s="189"/>
      <c r="D57" s="750"/>
      <c r="E57" s="135"/>
      <c r="F57" s="189"/>
      <c r="G57" s="256"/>
      <c r="H57" s="147"/>
    </row>
    <row r="58" spans="1:8" ht="12">
      <c r="A58" s="141">
        <v>454</v>
      </c>
      <c r="B58" s="21" t="s">
        <v>278</v>
      </c>
      <c r="C58" s="189">
        <f>+'City Approved'!I35/1000</f>
        <v>164069.332</v>
      </c>
      <c r="D58" s="350">
        <v>0</v>
      </c>
      <c r="E58" s="257">
        <v>0</v>
      </c>
      <c r="F58" s="147">
        <v>86766.466</v>
      </c>
      <c r="G58" s="157">
        <f>F58/C58</f>
        <v>0.5288402466342704</v>
      </c>
      <c r="H58" s="258">
        <f>C58-F58</f>
        <v>77302.866</v>
      </c>
    </row>
    <row r="59" spans="1:8" s="145" customFormat="1" ht="3.75" customHeight="1">
      <c r="A59" s="141"/>
      <c r="B59" s="21"/>
      <c r="C59" s="189"/>
      <c r="D59" s="750"/>
      <c r="E59" s="135"/>
      <c r="F59" s="189"/>
      <c r="G59" s="256"/>
      <c r="H59" s="147"/>
    </row>
    <row r="60" spans="1:8" s="145" customFormat="1" ht="12">
      <c r="A60" s="141">
        <v>461</v>
      </c>
      <c r="B60" s="21" t="s">
        <v>280</v>
      </c>
      <c r="C60" s="189">
        <f>+'City Approved'!I36/1000</f>
        <v>3043687.82</v>
      </c>
      <c r="D60" s="296">
        <v>0</v>
      </c>
      <c r="E60" s="296">
        <v>0</v>
      </c>
      <c r="F60" s="231">
        <v>591604.2156799999</v>
      </c>
      <c r="G60" s="256">
        <f>F60/C60</f>
        <v>0.19437085886160294</v>
      </c>
      <c r="H60" s="147">
        <f>C60-F60</f>
        <v>2452083.60432</v>
      </c>
    </row>
    <row r="61" spans="1:8" s="145" customFormat="1" ht="3.75" customHeight="1">
      <c r="A61" s="141"/>
      <c r="B61" s="21"/>
      <c r="C61" s="189"/>
      <c r="D61" s="750"/>
      <c r="E61" s="135"/>
      <c r="F61" s="189"/>
      <c r="G61" s="256"/>
      <c r="H61" s="147"/>
    </row>
    <row r="62" spans="1:8" ht="12">
      <c r="A62" s="141">
        <v>470</v>
      </c>
      <c r="B62" s="21" t="s">
        <v>282</v>
      </c>
      <c r="C62" s="189">
        <f>+'City Approved'!I37/1000</f>
        <v>909861.953</v>
      </c>
      <c r="D62" s="350">
        <v>0</v>
      </c>
      <c r="E62" s="257">
        <v>0</v>
      </c>
      <c r="F62" s="147">
        <v>711687.837</v>
      </c>
      <c r="G62" s="157">
        <f>F62/C62</f>
        <v>0.7821932048630239</v>
      </c>
      <c r="H62" s="258">
        <f>C62-F62</f>
        <v>198174.11599999992</v>
      </c>
    </row>
    <row r="63" spans="1:8" ht="3.75" customHeight="1">
      <c r="A63" s="141"/>
      <c r="B63" s="21"/>
      <c r="C63" s="147"/>
      <c r="D63" s="753"/>
      <c r="E63" s="142"/>
      <c r="F63" s="253"/>
      <c r="G63" s="157"/>
      <c r="H63" s="258"/>
    </row>
    <row r="64" spans="1:8" ht="12">
      <c r="A64" s="141">
        <v>472</v>
      </c>
      <c r="B64" s="21" t="s">
        <v>374</v>
      </c>
      <c r="C64" s="189">
        <f>+'City Approved'!I38/1000</f>
        <v>652495.759</v>
      </c>
      <c r="D64" s="350">
        <v>0</v>
      </c>
      <c r="E64" s="257">
        <v>0</v>
      </c>
      <c r="F64" s="147">
        <v>462820.521</v>
      </c>
      <c r="G64" s="157">
        <f>F64/C64</f>
        <v>0.7093080906905941</v>
      </c>
      <c r="H64" s="258">
        <f>C64-F64</f>
        <v>189675.23799999995</v>
      </c>
    </row>
    <row r="65" spans="1:8" ht="3.75" customHeight="1">
      <c r="A65" s="141"/>
      <c r="B65" s="21"/>
      <c r="C65" s="147"/>
      <c r="D65" s="753"/>
      <c r="E65" s="142"/>
      <c r="F65" s="253"/>
      <c r="G65" s="157"/>
      <c r="H65" s="258"/>
    </row>
    <row r="66" spans="1:8" ht="12">
      <c r="A66" s="141">
        <v>474</v>
      </c>
      <c r="B66" s="21" t="s">
        <v>281</v>
      </c>
      <c r="C66" s="189">
        <f>+'City Approved'!I39/1000</f>
        <v>66690.57</v>
      </c>
      <c r="D66" s="350">
        <v>0</v>
      </c>
      <c r="E66" s="257">
        <v>0</v>
      </c>
      <c r="F66" s="147">
        <v>22079.612</v>
      </c>
      <c r="G66" s="157">
        <f>F66/C66</f>
        <v>0.33107547288919553</v>
      </c>
      <c r="H66" s="258">
        <f>C66-F66</f>
        <v>44610.958000000006</v>
      </c>
    </row>
    <row r="67" spans="1:8" s="145" customFormat="1" ht="3.75" customHeight="1">
      <c r="A67" s="141"/>
      <c r="B67" s="21"/>
      <c r="C67" s="189"/>
      <c r="D67" s="750"/>
      <c r="E67" s="135"/>
      <c r="F67" s="189"/>
      <c r="G67" s="256"/>
      <c r="H67" s="147"/>
    </row>
    <row r="68" spans="1:8" s="145" customFormat="1" ht="12.75" customHeight="1">
      <c r="A68" s="259" t="s">
        <v>318</v>
      </c>
      <c r="B68" s="148" t="s">
        <v>330</v>
      </c>
      <c r="C68" s="260">
        <v>0</v>
      </c>
      <c r="D68" s="296">
        <v>-8823</v>
      </c>
      <c r="E68" s="296">
        <v>0</v>
      </c>
      <c r="F68" s="260">
        <v>0</v>
      </c>
      <c r="G68" s="261">
        <v>0</v>
      </c>
      <c r="H68" s="257">
        <v>0</v>
      </c>
    </row>
    <row r="69" spans="1:8" s="145" customFormat="1" ht="6" customHeight="1">
      <c r="A69" s="149"/>
      <c r="B69" s="21"/>
      <c r="C69" s="189"/>
      <c r="D69" s="750"/>
      <c r="E69" s="135"/>
      <c r="F69" s="189"/>
      <c r="G69" s="256"/>
      <c r="H69" s="147"/>
    </row>
    <row r="70" spans="1:8" s="145" customFormat="1" ht="15" customHeight="1">
      <c r="A70" s="262" t="s">
        <v>582</v>
      </c>
      <c r="B70" s="263"/>
      <c r="C70" s="264">
        <f>SUM(C16:C68)</f>
        <v>20311746.316000003</v>
      </c>
      <c r="D70" s="754">
        <f>SUM(D16:D68)</f>
        <v>109788</v>
      </c>
      <c r="E70" s="265">
        <f>SUM(E16:E68)</f>
        <v>377217.07700000005</v>
      </c>
      <c r="F70" s="266">
        <f>SUM(F16:F68)</f>
        <v>7795666.41686</v>
      </c>
      <c r="G70" s="267">
        <f>F70/C70</f>
        <v>0.38380089508695686</v>
      </c>
      <c r="H70" s="266">
        <f>SUM(H16:H67)</f>
        <v>12516079.899139998</v>
      </c>
    </row>
    <row r="71" spans="1:8" s="145" customFormat="1" ht="3.75" customHeight="1">
      <c r="A71" s="141"/>
      <c r="B71" s="148"/>
      <c r="C71" s="147"/>
      <c r="D71" s="755"/>
      <c r="E71" s="143"/>
      <c r="F71" s="150"/>
      <c r="G71" s="150"/>
      <c r="H71" s="143"/>
    </row>
    <row r="72" spans="1:8" s="145" customFormat="1" ht="12">
      <c r="A72" s="141">
        <v>481</v>
      </c>
      <c r="B72" s="21" t="s">
        <v>331</v>
      </c>
      <c r="C72" s="189">
        <f>+'City Approved'!I44/1000</f>
        <v>1012413.12</v>
      </c>
      <c r="D72" s="296">
        <v>8221</v>
      </c>
      <c r="E72" s="296">
        <v>25984.368</v>
      </c>
      <c r="F72" s="189">
        <v>230045.217</v>
      </c>
      <c r="G72" s="268">
        <f>F72/C72</f>
        <v>0.22722465015072107</v>
      </c>
      <c r="H72" s="184">
        <f>+C72-F72</f>
        <v>782367.9029999999</v>
      </c>
    </row>
    <row r="73" spans="1:8" s="145" customFormat="1" ht="4.5" customHeight="1">
      <c r="A73" s="141"/>
      <c r="B73" s="21"/>
      <c r="C73" s="189"/>
      <c r="D73" s="750"/>
      <c r="E73" s="135"/>
      <c r="F73" s="189"/>
      <c r="G73" s="189"/>
      <c r="H73" s="184"/>
    </row>
    <row r="74" spans="1:8" s="145" customFormat="1" ht="12" customHeight="1">
      <c r="A74" s="259" t="s">
        <v>318</v>
      </c>
      <c r="B74" s="148" t="s">
        <v>330</v>
      </c>
      <c r="C74" s="260">
        <v>0</v>
      </c>
      <c r="D74" s="296">
        <v>8823</v>
      </c>
      <c r="E74" s="296">
        <v>0</v>
      </c>
      <c r="F74" s="260"/>
      <c r="G74" s="261">
        <v>0</v>
      </c>
      <c r="H74" s="257">
        <v>0</v>
      </c>
    </row>
    <row r="75" spans="1:8" s="145" customFormat="1" ht="4.5" customHeight="1">
      <c r="A75" s="141"/>
      <c r="B75" s="21"/>
      <c r="C75" s="189"/>
      <c r="D75" s="750"/>
      <c r="E75" s="135"/>
      <c r="F75" s="189"/>
      <c r="G75" s="189"/>
      <c r="H75" s="184"/>
    </row>
    <row r="76" spans="1:8" ht="12">
      <c r="A76" s="141">
        <v>482</v>
      </c>
      <c r="B76" s="21" t="s">
        <v>8</v>
      </c>
      <c r="C76" s="189">
        <f>+'City Approved'!I45/1000</f>
        <v>607043.905</v>
      </c>
      <c r="D76" s="350">
        <v>0</v>
      </c>
      <c r="E76" s="257">
        <v>0</v>
      </c>
      <c r="F76" s="281">
        <v>220059.979</v>
      </c>
      <c r="G76" s="157">
        <f>F76/C76</f>
        <v>0.36251081212980796</v>
      </c>
      <c r="H76" s="269">
        <f>+C76-F76</f>
        <v>386983.92600000004</v>
      </c>
    </row>
    <row r="77" spans="1:8" s="145" customFormat="1" ht="3.75" customHeight="1">
      <c r="A77" s="141"/>
      <c r="B77" s="21"/>
      <c r="C77" s="189"/>
      <c r="D77" s="750"/>
      <c r="E77" s="135"/>
      <c r="F77" s="189"/>
      <c r="G77" s="189"/>
      <c r="H77" s="184"/>
    </row>
    <row r="78" spans="1:8" s="145" customFormat="1" ht="15" customHeight="1">
      <c r="A78" s="270" t="s">
        <v>332</v>
      </c>
      <c r="B78" s="271"/>
      <c r="C78" s="272">
        <f>SUM(C72:C77)</f>
        <v>1619457.025</v>
      </c>
      <c r="D78" s="756">
        <f>SUM(D72:D77)</f>
        <v>17044</v>
      </c>
      <c r="E78" s="273">
        <f>SUM(E72:E77)</f>
        <v>25984.368</v>
      </c>
      <c r="F78" s="272">
        <f>SUM(F72:F77)</f>
        <v>450105.196</v>
      </c>
      <c r="G78" s="274">
        <f>F78/C78</f>
        <v>0.2779358692769263</v>
      </c>
      <c r="H78" s="272">
        <f>SUM(H72:H76)</f>
        <v>1169351.829</v>
      </c>
    </row>
    <row r="79" spans="1:8" ht="3.75" customHeight="1" thickBot="1">
      <c r="A79" s="141"/>
      <c r="B79" s="83"/>
      <c r="C79" s="56"/>
      <c r="D79" s="757"/>
      <c r="E79" s="144"/>
      <c r="F79" s="144"/>
      <c r="G79" s="144"/>
      <c r="H79" s="56"/>
    </row>
    <row r="80" spans="1:8" ht="15" customHeight="1" thickBot="1" thickTop="1">
      <c r="A80" s="275" t="s">
        <v>252</v>
      </c>
      <c r="B80" s="276"/>
      <c r="C80" s="277">
        <f>+C78+C70</f>
        <v>21931203.341000002</v>
      </c>
      <c r="D80" s="758">
        <f>+D78+D70</f>
        <v>126832</v>
      </c>
      <c r="E80" s="278">
        <f>+E78+E70</f>
        <v>403201.44500000007</v>
      </c>
      <c r="F80" s="277">
        <f>+F78+F70</f>
        <v>8245771.61286</v>
      </c>
      <c r="G80" s="279">
        <f>+F80/C80</f>
        <v>0.3759835465774317</v>
      </c>
      <c r="H80" s="280">
        <f>+H78+H70</f>
        <v>13685431.728139998</v>
      </c>
    </row>
    <row r="81" spans="1:8" ht="12.75" thickTop="1">
      <c r="A81" s="141"/>
      <c r="B81" s="21"/>
      <c r="C81" s="147"/>
      <c r="D81" s="281"/>
      <c r="E81" s="147"/>
      <c r="F81" s="297"/>
      <c r="G81" s="157"/>
      <c r="H81" s="258"/>
    </row>
    <row r="82" spans="1:8" ht="12">
      <c r="A82" s="141"/>
      <c r="B82" s="21"/>
      <c r="C82" s="147"/>
      <c r="D82" s="281"/>
      <c r="E82" s="147"/>
      <c r="F82" s="298"/>
      <c r="G82" s="157"/>
      <c r="H82" s="258"/>
    </row>
    <row r="83" spans="1:8" ht="12">
      <c r="A83" s="141"/>
      <c r="B83" s="21"/>
      <c r="C83" s="147"/>
      <c r="D83" s="281"/>
      <c r="E83" s="147"/>
      <c r="F83" s="253"/>
      <c r="G83" s="157"/>
      <c r="H83" s="258"/>
    </row>
    <row r="84" spans="1:8" ht="15" customHeight="1">
      <c r="A84" s="282" t="s">
        <v>333</v>
      </c>
      <c r="B84" s="283"/>
      <c r="C84" s="80"/>
      <c r="D84" s="759"/>
      <c r="E84" s="81"/>
      <c r="F84" s="284"/>
      <c r="G84" s="285"/>
      <c r="H84" s="286"/>
    </row>
    <row r="85" spans="1:8" ht="15" customHeight="1">
      <c r="A85" s="287" t="s">
        <v>334</v>
      </c>
      <c r="B85" s="288"/>
      <c r="C85" s="810">
        <f>+C16+C20+C30+C34+C38+C42+C48+C56+C60+C72+C26</f>
        <v>14014593.471</v>
      </c>
      <c r="D85" s="760">
        <f>+D16+D20+D30+D34+D38+D42+D48+D56+D60+D72+D26</f>
        <v>126832</v>
      </c>
      <c r="E85" s="810">
        <f>+E16+E20+E30+E34+E38+E42+E48+E56+E60+E72+E26</f>
        <v>403201.44500000007</v>
      </c>
      <c r="F85" s="810">
        <f>+F16+F20+F30+F34+F38+F42+F48+F56+F60+F72+F26</f>
        <v>3036189.7266800003</v>
      </c>
      <c r="G85" s="386">
        <f>+F85/C85</f>
        <v>0.21664486615060946</v>
      </c>
      <c r="H85" s="811">
        <f>+H16+H20+H30+H34+H38+H42+H48+H56+H60+H72+H26</f>
        <v>10978403.744319998</v>
      </c>
    </row>
    <row r="86" spans="1:8" ht="15" customHeight="1">
      <c r="A86" s="291" t="s">
        <v>297</v>
      </c>
      <c r="B86" s="292"/>
      <c r="C86" s="289">
        <f>+C18+C22+C32+C36+C40+C44+C46+C50+C52+C54+C58+C62+C64+C66+C76+C24++C28</f>
        <v>7916609.869999999</v>
      </c>
      <c r="D86" s="760">
        <f>+D18+D22+D32+D36+D40+D44+D46+D50+D52+D54+D58+D62+D64+D66+D76+D24++D28</f>
        <v>0</v>
      </c>
      <c r="E86" s="289">
        <f>+E18+E22+E32+E36+E40+E44+E46+E50+E52+E54+E58+E62+E64+E66+E76+E24++E28</f>
        <v>0</v>
      </c>
      <c r="F86" s="289">
        <f>+F18+F22+F32+F36+F40+F44+F46+F50+F52+F54+F58+F62+F64+F66+F76+F24++F28</f>
        <v>5209581.88618</v>
      </c>
      <c r="G86" s="386">
        <f>+F86/C86</f>
        <v>0.658057169890576</v>
      </c>
      <c r="H86" s="290">
        <f>+H18+H22+H32+H36+H40+H44+H46+H50+H52+H54+H58+H62+H64+H66+H76+H24++H28</f>
        <v>2707027.9838199997</v>
      </c>
    </row>
    <row r="87" spans="1:8" ht="15" customHeight="1" thickBot="1">
      <c r="A87" s="293" t="s">
        <v>252</v>
      </c>
      <c r="B87" s="294"/>
      <c r="C87" s="378">
        <f>SUM(C85:C86)</f>
        <v>21931203.341</v>
      </c>
      <c r="D87" s="761">
        <f>SUM(D85:D86)</f>
        <v>126832</v>
      </c>
      <c r="E87" s="378">
        <f>SUM(E85:E86)</f>
        <v>403201.44500000007</v>
      </c>
      <c r="F87" s="378">
        <f>SUM(F85:F86)</f>
        <v>8245771.612860001</v>
      </c>
      <c r="G87" s="387">
        <f>+F87/C87</f>
        <v>0.3759835465774318</v>
      </c>
      <c r="H87" s="295">
        <f>SUM(H85:H86)</f>
        <v>13685431.728139997</v>
      </c>
    </row>
    <row r="88" spans="1:8" ht="13.5" thickTop="1">
      <c r="A88" s="141"/>
      <c r="B88" s="158"/>
      <c r="C88" s="147"/>
      <c r="D88" s="147"/>
      <c r="E88" s="147"/>
      <c r="F88" s="147"/>
      <c r="G88" s="147"/>
      <c r="H88" s="130"/>
    </row>
  </sheetData>
  <sheetProtection/>
  <mergeCells count="5">
    <mergeCell ref="A5:H5"/>
    <mergeCell ref="A1:H1"/>
    <mergeCell ref="A2:H2"/>
    <mergeCell ref="A3:H3"/>
    <mergeCell ref="A4:H4"/>
  </mergeCells>
  <printOptions horizontalCentered="1"/>
  <pageMargins left="0" right="0" top="0.6" bottom="0.5" header="0" footer="0.25"/>
  <pageSetup horizontalDpi="600" verticalDpi="600" orientation="portrait" scale="82" r:id="rId1"/>
  <headerFooter alignWithMargins="0">
    <oddFooter>&amp;C&amp;12- 9 -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3.8515625" style="171" customWidth="1"/>
    <col min="2" max="2" width="43.140625" style="171" customWidth="1"/>
    <col min="3" max="3" width="13.421875" style="171" customWidth="1"/>
    <col min="4" max="4" width="11.00390625" style="171" customWidth="1"/>
    <col min="5" max="5" width="17.140625" style="171" customWidth="1"/>
    <col min="6" max="6" width="14.57421875" style="171" hidden="1" customWidth="1"/>
    <col min="7" max="7" width="15.7109375" style="171" customWidth="1"/>
    <col min="8" max="16384" width="9.140625" style="382" customWidth="1"/>
  </cols>
  <sheetData>
    <row r="1" spans="1:7" s="380" customFormat="1" ht="20.25">
      <c r="A1" s="866" t="s">
        <v>82</v>
      </c>
      <c r="B1" s="866"/>
      <c r="C1" s="866"/>
      <c r="D1" s="866"/>
      <c r="E1" s="866"/>
      <c r="F1" s="866"/>
      <c r="G1" s="866"/>
    </row>
    <row r="2" spans="1:7" s="380" customFormat="1" ht="18.75">
      <c r="A2" s="880" t="s">
        <v>184</v>
      </c>
      <c r="B2" s="880"/>
      <c r="C2" s="880"/>
      <c r="D2" s="880"/>
      <c r="E2" s="880"/>
      <c r="F2" s="880"/>
      <c r="G2" s="880"/>
    </row>
    <row r="3" spans="1:7" s="380" customFormat="1" ht="15">
      <c r="A3" s="870" t="s">
        <v>551</v>
      </c>
      <c r="B3" s="870"/>
      <c r="C3" s="870"/>
      <c r="D3" s="870"/>
      <c r="E3" s="870"/>
      <c r="F3" s="870"/>
      <c r="G3" s="870"/>
    </row>
    <row r="4" spans="1:7" s="380" customFormat="1" ht="12.75">
      <c r="A4" s="882" t="s">
        <v>12</v>
      </c>
      <c r="B4" s="882"/>
      <c r="C4" s="882"/>
      <c r="D4" s="882"/>
      <c r="E4" s="882"/>
      <c r="F4" s="882"/>
      <c r="G4" s="882"/>
    </row>
    <row r="5" spans="1:7" s="380" customFormat="1" ht="12.75">
      <c r="A5" s="4"/>
      <c r="B5" s="4"/>
      <c r="C5" s="4"/>
      <c r="D5" s="4"/>
      <c r="E5" s="4"/>
      <c r="F5" s="4"/>
      <c r="G5" s="4"/>
    </row>
    <row r="6" spans="1:7" s="380" customFormat="1" ht="12.75">
      <c r="A6" s="159"/>
      <c r="B6" s="159"/>
      <c r="C6" s="103"/>
      <c r="D6" s="103"/>
      <c r="E6" s="103"/>
      <c r="F6" s="160"/>
      <c r="G6" s="103"/>
    </row>
    <row r="7" spans="1:7" s="380" customFormat="1" ht="12.75">
      <c r="A7" s="159"/>
      <c r="B7" s="159"/>
      <c r="C7" s="103"/>
      <c r="D7" s="103"/>
      <c r="E7" s="103"/>
      <c r="F7" s="160"/>
      <c r="G7" s="103"/>
    </row>
    <row r="8" spans="1:7" s="790" customFormat="1" ht="12.75">
      <c r="A8" s="785"/>
      <c r="B8" s="785"/>
      <c r="C8" s="786"/>
      <c r="D8" s="787"/>
      <c r="E8" s="788"/>
      <c r="F8" s="789"/>
      <c r="G8" s="788"/>
    </row>
    <row r="9" spans="1:7" s="383" customFormat="1" ht="12.75">
      <c r="A9" s="300"/>
      <c r="B9" s="300"/>
      <c r="C9" s="856" t="s">
        <v>390</v>
      </c>
      <c r="D9" s="744"/>
      <c r="E9" s="133"/>
      <c r="F9" s="369"/>
      <c r="G9" s="164"/>
    </row>
    <row r="10" spans="1:7" s="383" customFormat="1" ht="12.75">
      <c r="A10" s="166"/>
      <c r="C10" s="164" t="s">
        <v>298</v>
      </c>
      <c r="D10" s="744" t="s">
        <v>186</v>
      </c>
      <c r="E10" s="164" t="s">
        <v>86</v>
      </c>
      <c r="F10" s="369" t="s">
        <v>181</v>
      </c>
      <c r="G10" s="164" t="s">
        <v>85</v>
      </c>
    </row>
    <row r="11" spans="1:7" s="383" customFormat="1" ht="12.75">
      <c r="A11" s="166"/>
      <c r="B11" s="315" t="s">
        <v>185</v>
      </c>
      <c r="C11" s="164" t="s">
        <v>5</v>
      </c>
      <c r="D11" s="744" t="s">
        <v>182</v>
      </c>
      <c r="E11" s="164" t="s">
        <v>307</v>
      </c>
      <c r="F11" s="369" t="s">
        <v>183</v>
      </c>
      <c r="G11" s="164" t="s">
        <v>87</v>
      </c>
    </row>
    <row r="12" spans="1:7" s="383" customFormat="1" ht="12.75">
      <c r="A12" s="167"/>
      <c r="B12" s="167"/>
      <c r="C12" s="168"/>
      <c r="D12" s="745"/>
      <c r="E12" s="168"/>
      <c r="F12" s="370"/>
      <c r="G12" s="168"/>
    </row>
    <row r="13" spans="1:7" s="380" customFormat="1" ht="12.75">
      <c r="A13" s="159"/>
      <c r="B13" s="159"/>
      <c r="C13" s="358"/>
      <c r="D13" s="746"/>
      <c r="E13" s="103"/>
      <c r="F13" s="360"/>
      <c r="G13" s="103"/>
    </row>
    <row r="14" spans="1:7" s="380" customFormat="1" ht="14.25" customHeight="1">
      <c r="A14" s="170" t="s">
        <v>187</v>
      </c>
      <c r="B14" s="170" t="s">
        <v>188</v>
      </c>
      <c r="C14" s="313">
        <v>708181.149</v>
      </c>
      <c r="D14" s="351">
        <v>11935</v>
      </c>
      <c r="E14" s="313">
        <v>185393.56</v>
      </c>
      <c r="F14" s="368">
        <v>0</v>
      </c>
      <c r="G14" s="312">
        <f aca="true" t="shared" si="0" ref="G14:G43">C14-E14</f>
        <v>522787.589</v>
      </c>
    </row>
    <row r="15" spans="1:7" s="380" customFormat="1" ht="14.25" customHeight="1">
      <c r="A15" s="170" t="s">
        <v>189</v>
      </c>
      <c r="B15" s="170" t="s">
        <v>190</v>
      </c>
      <c r="C15" s="160">
        <v>8366030.777</v>
      </c>
      <c r="D15" s="351">
        <v>114897</v>
      </c>
      <c r="E15" s="160">
        <v>1518233.822</v>
      </c>
      <c r="F15" s="368">
        <v>0</v>
      </c>
      <c r="G15" s="160">
        <f t="shared" si="0"/>
        <v>6847796.955</v>
      </c>
    </row>
    <row r="16" spans="1:7" s="380" customFormat="1" ht="14.25" customHeight="1">
      <c r="A16" s="170" t="s">
        <v>191</v>
      </c>
      <c r="B16" s="170" t="s">
        <v>192</v>
      </c>
      <c r="C16" s="160">
        <v>1540.062</v>
      </c>
      <c r="D16" s="351">
        <v>35</v>
      </c>
      <c r="E16" s="160">
        <v>623.37</v>
      </c>
      <c r="F16" s="368">
        <v>0</v>
      </c>
      <c r="G16" s="160">
        <f t="shared" si="0"/>
        <v>916.6919999999999</v>
      </c>
    </row>
    <row r="17" spans="1:7" s="380" customFormat="1" ht="14.25" customHeight="1">
      <c r="A17" s="170" t="s">
        <v>193</v>
      </c>
      <c r="B17" s="170" t="s">
        <v>194</v>
      </c>
      <c r="C17" s="160">
        <v>515949.267</v>
      </c>
      <c r="D17" s="351">
        <v>11935</v>
      </c>
      <c r="E17" s="160">
        <v>71869.202</v>
      </c>
      <c r="F17" s="368">
        <v>0</v>
      </c>
      <c r="G17" s="160">
        <f t="shared" si="0"/>
        <v>444080.065</v>
      </c>
    </row>
    <row r="18" spans="1:7" s="380" customFormat="1" ht="14.25" customHeight="1">
      <c r="A18" s="170" t="s">
        <v>195</v>
      </c>
      <c r="B18" s="170" t="s">
        <v>196</v>
      </c>
      <c r="C18" s="160">
        <v>440988.987</v>
      </c>
      <c r="D18" s="351">
        <v>731</v>
      </c>
      <c r="E18" s="160">
        <v>161511.998</v>
      </c>
      <c r="F18" s="368">
        <v>0</v>
      </c>
      <c r="G18" s="160">
        <f t="shared" si="0"/>
        <v>279476.98900000006</v>
      </c>
    </row>
    <row r="19" spans="1:7" s="380" customFormat="1" ht="14.25" customHeight="1">
      <c r="A19" s="170" t="s">
        <v>197</v>
      </c>
      <c r="B19" s="170" t="s">
        <v>198</v>
      </c>
      <c r="C19" s="160">
        <v>2000</v>
      </c>
      <c r="D19" s="351">
        <v>0</v>
      </c>
      <c r="E19" s="160">
        <v>542.27</v>
      </c>
      <c r="F19" s="368">
        <v>0</v>
      </c>
      <c r="G19" s="160">
        <f t="shared" si="0"/>
        <v>1457.73</v>
      </c>
    </row>
    <row r="20" spans="1:7" s="380" customFormat="1" ht="14.25" customHeight="1">
      <c r="A20" s="170" t="s">
        <v>199</v>
      </c>
      <c r="B20" s="170" t="s">
        <v>200</v>
      </c>
      <c r="C20" s="160">
        <v>645.669</v>
      </c>
      <c r="D20" s="351">
        <v>0</v>
      </c>
      <c r="E20" s="160">
        <v>158.596</v>
      </c>
      <c r="F20" s="368">
        <v>0</v>
      </c>
      <c r="G20" s="160">
        <f t="shared" si="0"/>
        <v>487.073</v>
      </c>
    </row>
    <row r="21" spans="1:7" s="380" customFormat="1" ht="14.25" customHeight="1">
      <c r="A21" s="170" t="s">
        <v>201</v>
      </c>
      <c r="B21" s="170" t="s">
        <v>202</v>
      </c>
      <c r="C21" s="160">
        <v>13124.781</v>
      </c>
      <c r="D21" s="351">
        <v>0</v>
      </c>
      <c r="E21" s="160">
        <v>6207.474</v>
      </c>
      <c r="F21" s="368">
        <v>0</v>
      </c>
      <c r="G21" s="160">
        <f t="shared" si="0"/>
        <v>6917.307000000001</v>
      </c>
    </row>
    <row r="22" spans="1:7" s="380" customFormat="1" ht="14.25" customHeight="1">
      <c r="A22" s="170" t="s">
        <v>203</v>
      </c>
      <c r="B22" s="170" t="s">
        <v>204</v>
      </c>
      <c r="C22" s="160">
        <v>93.705</v>
      </c>
      <c r="D22" s="351">
        <v>0</v>
      </c>
      <c r="E22" s="160">
        <v>16.491</v>
      </c>
      <c r="F22" s="368">
        <v>0</v>
      </c>
      <c r="G22" s="160">
        <f t="shared" si="0"/>
        <v>77.214</v>
      </c>
    </row>
    <row r="23" spans="1:7" s="380" customFormat="1" ht="14.25" customHeight="1">
      <c r="A23" s="170" t="s">
        <v>205</v>
      </c>
      <c r="B23" s="170" t="s">
        <v>206</v>
      </c>
      <c r="C23" s="160">
        <v>27617.394</v>
      </c>
      <c r="D23" s="351">
        <v>0</v>
      </c>
      <c r="E23" s="160">
        <v>1435.069</v>
      </c>
      <c r="F23" s="368">
        <v>0</v>
      </c>
      <c r="G23" s="160">
        <f t="shared" si="0"/>
        <v>26182.325</v>
      </c>
    </row>
    <row r="24" spans="1:7" s="380" customFormat="1" ht="14.25" customHeight="1">
      <c r="A24" s="170" t="s">
        <v>207</v>
      </c>
      <c r="B24" s="170" t="s">
        <v>208</v>
      </c>
      <c r="C24" s="160">
        <v>9960.539</v>
      </c>
      <c r="D24" s="351">
        <v>0</v>
      </c>
      <c r="E24" s="160">
        <v>2844.209</v>
      </c>
      <c r="F24" s="368">
        <v>0</v>
      </c>
      <c r="G24" s="160">
        <f t="shared" si="0"/>
        <v>7116.330000000001</v>
      </c>
    </row>
    <row r="25" spans="1:7" s="380" customFormat="1" ht="14.25" customHeight="1">
      <c r="A25" s="170" t="s">
        <v>209</v>
      </c>
      <c r="B25" s="170" t="s">
        <v>210</v>
      </c>
      <c r="C25" s="160">
        <v>5846.935</v>
      </c>
      <c r="D25" s="351">
        <v>0</v>
      </c>
      <c r="E25" s="187">
        <v>104814.824</v>
      </c>
      <c r="F25" s="368">
        <v>0</v>
      </c>
      <c r="G25" s="160">
        <f t="shared" si="0"/>
        <v>-98967.889</v>
      </c>
    </row>
    <row r="26" spans="1:7" s="380" customFormat="1" ht="14.25" customHeight="1">
      <c r="A26" s="170" t="s">
        <v>211</v>
      </c>
      <c r="B26" s="170" t="s">
        <v>212</v>
      </c>
      <c r="C26" s="160">
        <v>75</v>
      </c>
      <c r="D26" s="351">
        <v>0</v>
      </c>
      <c r="E26" s="160">
        <v>0</v>
      </c>
      <c r="F26" s="368">
        <v>0</v>
      </c>
      <c r="G26" s="160">
        <f t="shared" si="0"/>
        <v>75</v>
      </c>
    </row>
    <row r="27" spans="1:7" s="380" customFormat="1" ht="14.25" customHeight="1">
      <c r="A27" s="170" t="s">
        <v>213</v>
      </c>
      <c r="B27" s="238" t="s">
        <v>214</v>
      </c>
      <c r="C27" s="781">
        <v>0</v>
      </c>
      <c r="D27" s="351">
        <v>0</v>
      </c>
      <c r="E27" s="160">
        <v>2.08</v>
      </c>
      <c r="F27" s="368">
        <v>0</v>
      </c>
      <c r="G27" s="160">
        <f t="shared" si="0"/>
        <v>-2.08</v>
      </c>
    </row>
    <row r="28" spans="1:7" s="380" customFormat="1" ht="14.25" customHeight="1">
      <c r="A28" s="170" t="s">
        <v>215</v>
      </c>
      <c r="B28" s="238" t="s">
        <v>216</v>
      </c>
      <c r="C28" s="160">
        <v>0.428</v>
      </c>
      <c r="D28" s="351">
        <v>0</v>
      </c>
      <c r="E28" s="160">
        <v>0</v>
      </c>
      <c r="F28" s="368">
        <v>0</v>
      </c>
      <c r="G28" s="160">
        <f t="shared" si="0"/>
        <v>0.428</v>
      </c>
    </row>
    <row r="29" spans="1:7" s="380" customFormat="1" ht="14.25" customHeight="1">
      <c r="A29" s="237" t="s">
        <v>317</v>
      </c>
      <c r="B29" s="238" t="s">
        <v>365</v>
      </c>
      <c r="C29" s="160">
        <v>0</v>
      </c>
      <c r="D29" s="351">
        <v>0</v>
      </c>
      <c r="E29" s="187">
        <v>318588.898</v>
      </c>
      <c r="F29" s="368">
        <v>0</v>
      </c>
      <c r="G29" s="187">
        <f t="shared" si="0"/>
        <v>-318588.898</v>
      </c>
    </row>
    <row r="30" spans="1:7" s="380" customFormat="1" ht="14.25" customHeight="1">
      <c r="A30" s="238" t="s">
        <v>217</v>
      </c>
      <c r="B30" s="238" t="s">
        <v>339</v>
      </c>
      <c r="C30" s="160">
        <v>409</v>
      </c>
      <c r="D30" s="351">
        <v>0</v>
      </c>
      <c r="E30" s="160">
        <v>80.8</v>
      </c>
      <c r="F30" s="368">
        <v>0</v>
      </c>
      <c r="G30" s="160">
        <f t="shared" si="0"/>
        <v>328.2</v>
      </c>
    </row>
    <row r="31" spans="1:7" s="380" customFormat="1" ht="14.25" customHeight="1">
      <c r="A31" s="170" t="s">
        <v>218</v>
      </c>
      <c r="B31" s="170" t="s">
        <v>219</v>
      </c>
      <c r="C31" s="160">
        <v>22923</v>
      </c>
      <c r="D31" s="351">
        <v>0</v>
      </c>
      <c r="E31" s="160">
        <v>565.615</v>
      </c>
      <c r="F31" s="368">
        <v>0</v>
      </c>
      <c r="G31" s="160">
        <f t="shared" si="0"/>
        <v>22357.385</v>
      </c>
    </row>
    <row r="32" spans="1:7" s="380" customFormat="1" ht="14.25" customHeight="1">
      <c r="A32" s="170" t="s">
        <v>220</v>
      </c>
      <c r="B32" s="170" t="s">
        <v>335</v>
      </c>
      <c r="C32" s="160">
        <v>1375.501</v>
      </c>
      <c r="D32" s="351">
        <v>0</v>
      </c>
      <c r="E32" s="160">
        <v>113.868</v>
      </c>
      <c r="F32" s="368">
        <v>0</v>
      </c>
      <c r="G32" s="160">
        <f t="shared" si="0"/>
        <v>1261.633</v>
      </c>
    </row>
    <row r="33" spans="1:7" s="380" customFormat="1" ht="14.25" customHeight="1">
      <c r="A33" s="170" t="s">
        <v>221</v>
      </c>
      <c r="B33" s="170" t="s">
        <v>222</v>
      </c>
      <c r="C33" s="160">
        <v>362.231</v>
      </c>
      <c r="D33" s="351">
        <v>0</v>
      </c>
      <c r="E33" s="160">
        <v>55.014</v>
      </c>
      <c r="F33" s="368">
        <v>0</v>
      </c>
      <c r="G33" s="160">
        <f t="shared" si="0"/>
        <v>307.217</v>
      </c>
    </row>
    <row r="34" spans="1:7" s="380" customFormat="1" ht="14.25" customHeight="1">
      <c r="A34" s="170" t="s">
        <v>223</v>
      </c>
      <c r="B34" s="170" t="s">
        <v>224</v>
      </c>
      <c r="C34" s="160">
        <v>2123027.746</v>
      </c>
      <c r="D34" s="351">
        <v>0</v>
      </c>
      <c r="E34" s="160">
        <v>328666.891</v>
      </c>
      <c r="F34" s="368">
        <v>0</v>
      </c>
      <c r="G34" s="160">
        <f t="shared" si="0"/>
        <v>1794360.8549999997</v>
      </c>
    </row>
    <row r="35" spans="1:7" s="380" customFormat="1" ht="14.25" customHeight="1">
      <c r="A35" s="170" t="s">
        <v>225</v>
      </c>
      <c r="B35" s="170" t="s">
        <v>226</v>
      </c>
      <c r="C35" s="160">
        <v>611.303</v>
      </c>
      <c r="D35" s="351">
        <v>0</v>
      </c>
      <c r="E35" s="160">
        <v>53.545</v>
      </c>
      <c r="F35" s="368">
        <v>0</v>
      </c>
      <c r="G35" s="160">
        <f t="shared" si="0"/>
        <v>557.758</v>
      </c>
    </row>
    <row r="36" spans="1:7" s="380" customFormat="1" ht="14.25" customHeight="1">
      <c r="A36" s="170" t="s">
        <v>227</v>
      </c>
      <c r="B36" s="170" t="s">
        <v>228</v>
      </c>
      <c r="C36" s="160">
        <v>600.262</v>
      </c>
      <c r="D36" s="351">
        <v>0</v>
      </c>
      <c r="E36" s="160">
        <v>0.468</v>
      </c>
      <c r="F36" s="368">
        <v>0</v>
      </c>
      <c r="G36" s="160">
        <f t="shared" si="0"/>
        <v>599.794</v>
      </c>
    </row>
    <row r="37" spans="1:7" s="380" customFormat="1" ht="14.25" customHeight="1">
      <c r="A37" s="170" t="s">
        <v>229</v>
      </c>
      <c r="B37" s="170" t="s">
        <v>230</v>
      </c>
      <c r="C37" s="160">
        <v>798481.613</v>
      </c>
      <c r="D37" s="351">
        <v>0</v>
      </c>
      <c r="E37" s="160">
        <v>184083.86</v>
      </c>
      <c r="F37" s="368">
        <v>0</v>
      </c>
      <c r="G37" s="160">
        <f t="shared" si="0"/>
        <v>614397.753</v>
      </c>
    </row>
    <row r="38" spans="1:7" s="380" customFormat="1" ht="14.25" customHeight="1">
      <c r="A38" s="170" t="s">
        <v>231</v>
      </c>
      <c r="B38" s="170" t="s">
        <v>232</v>
      </c>
      <c r="C38" s="160">
        <v>16763.389</v>
      </c>
      <c r="D38" s="351">
        <v>0</v>
      </c>
      <c r="E38" s="160">
        <v>2170.917</v>
      </c>
      <c r="F38" s="368">
        <v>0</v>
      </c>
      <c r="G38" s="160">
        <f t="shared" si="0"/>
        <v>14592.472</v>
      </c>
    </row>
    <row r="39" spans="1:7" s="380" customFormat="1" ht="14.25" customHeight="1">
      <c r="A39" s="170" t="s">
        <v>233</v>
      </c>
      <c r="B39" s="170" t="s">
        <v>234</v>
      </c>
      <c r="C39" s="160">
        <v>519428.298</v>
      </c>
      <c r="D39" s="351">
        <v>0</v>
      </c>
      <c r="E39" s="187">
        <v>56891.92868</v>
      </c>
      <c r="F39" s="368">
        <v>0</v>
      </c>
      <c r="G39" s="160">
        <f t="shared" si="0"/>
        <v>462536.36932</v>
      </c>
    </row>
    <row r="40" spans="1:7" s="380" customFormat="1" ht="14.25" customHeight="1">
      <c r="A40" s="170" t="s">
        <v>235</v>
      </c>
      <c r="B40" s="170" t="s">
        <v>236</v>
      </c>
      <c r="C40" s="160">
        <v>28943.196</v>
      </c>
      <c r="D40" s="351">
        <v>0</v>
      </c>
      <c r="E40" s="187">
        <v>8625.766</v>
      </c>
      <c r="F40" s="368">
        <v>0</v>
      </c>
      <c r="G40" s="160">
        <f t="shared" si="0"/>
        <v>20317.43</v>
      </c>
    </row>
    <row r="41" spans="1:7" s="380" customFormat="1" ht="14.25" customHeight="1">
      <c r="A41" s="170" t="s">
        <v>237</v>
      </c>
      <c r="B41" s="170" t="s">
        <v>238</v>
      </c>
      <c r="C41" s="160">
        <v>36043.001</v>
      </c>
      <c r="D41" s="351">
        <v>0</v>
      </c>
      <c r="E41" s="187">
        <v>10997.44</v>
      </c>
      <c r="F41" s="368">
        <v>0</v>
      </c>
      <c r="G41" s="160">
        <f t="shared" si="0"/>
        <v>25045.560999999994</v>
      </c>
    </row>
    <row r="42" spans="1:7" s="380" customFormat="1" ht="14.25" customHeight="1">
      <c r="A42" s="170" t="s">
        <v>239</v>
      </c>
      <c r="B42" s="170" t="s">
        <v>258</v>
      </c>
      <c r="C42" s="160">
        <v>373570.238</v>
      </c>
      <c r="D42" s="351">
        <v>0</v>
      </c>
      <c r="E42" s="160">
        <v>76474.844</v>
      </c>
      <c r="F42" s="368">
        <v>0</v>
      </c>
      <c r="G42" s="160">
        <f t="shared" si="0"/>
        <v>297095.39400000003</v>
      </c>
    </row>
    <row r="43" spans="1:7" s="380" customFormat="1" ht="14.25" customHeight="1">
      <c r="A43" s="238" t="s">
        <v>240</v>
      </c>
      <c r="B43" s="238" t="s">
        <v>372</v>
      </c>
      <c r="C43" s="160">
        <v>0</v>
      </c>
      <c r="D43" s="351">
        <v>0</v>
      </c>
      <c r="E43" s="187">
        <v>-4833.095</v>
      </c>
      <c r="F43" s="385">
        <v>0</v>
      </c>
      <c r="G43" s="187">
        <f t="shared" si="0"/>
        <v>4833.095</v>
      </c>
    </row>
    <row r="44" spans="1:7" s="380" customFormat="1" ht="6" customHeight="1" thickBot="1">
      <c r="A44" s="170"/>
      <c r="B44" s="170"/>
      <c r="C44" s="253"/>
      <c r="D44" s="385"/>
      <c r="E44" s="160"/>
      <c r="F44" s="368"/>
      <c r="G44" s="160"/>
    </row>
    <row r="45" spans="1:7" s="795" customFormat="1" ht="15" customHeight="1" thickBot="1" thickTop="1">
      <c r="A45" s="791" t="s">
        <v>241</v>
      </c>
      <c r="B45" s="791"/>
      <c r="C45" s="792">
        <f>SUM(C14:C43)</f>
        <v>14014593.470999999</v>
      </c>
      <c r="D45" s="793">
        <f>SUM(D14:D43)</f>
        <v>139533</v>
      </c>
      <c r="E45" s="792">
        <f>SUM(E14:E43)</f>
        <v>3036189.7246799986</v>
      </c>
      <c r="F45" s="794">
        <f>SUM(F14:F43)</f>
        <v>0</v>
      </c>
      <c r="G45" s="792">
        <f>SUM(G14:G43)</f>
        <v>10978403.74632</v>
      </c>
    </row>
    <row r="46" spans="1:7" s="384" customFormat="1" ht="13.5" thickTop="1">
      <c r="A46" s="171"/>
      <c r="B46" s="171"/>
      <c r="C46" s="359"/>
      <c r="D46" s="382"/>
      <c r="E46" s="171"/>
      <c r="F46" s="171"/>
      <c r="G46" s="171"/>
    </row>
  </sheetData>
  <sheetProtection/>
  <mergeCells count="4">
    <mergeCell ref="A2:G2"/>
    <mergeCell ref="A1:G1"/>
    <mergeCell ref="A3:G3"/>
    <mergeCell ref="A4:G4"/>
  </mergeCells>
  <printOptions horizontalCentered="1"/>
  <pageMargins left="0" right="0" top="0.75" bottom="0.5" header="0" footer="0.25"/>
  <pageSetup horizontalDpi="600" verticalDpi="600" orientation="portrait" scale="90" r:id="rId1"/>
  <headerFooter alignWithMargins="0">
    <oddFooter>&amp;C&amp;11- 10 -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5.421875" style="171" customWidth="1"/>
    <col min="2" max="2" width="43.28125" style="171" customWidth="1"/>
    <col min="3" max="3" width="13.57421875" style="171" customWidth="1"/>
    <col min="4" max="4" width="13.421875" style="171" customWidth="1"/>
    <col min="5" max="5" width="11.8515625" style="171" customWidth="1"/>
    <col min="6" max="6" width="12.421875" style="232" customWidth="1"/>
    <col min="7" max="16384" width="9.140625" style="382" customWidth="1"/>
  </cols>
  <sheetData>
    <row r="1" spans="1:6" s="380" customFormat="1" ht="20.25">
      <c r="A1" s="866" t="s">
        <v>82</v>
      </c>
      <c r="B1" s="866"/>
      <c r="C1" s="866"/>
      <c r="D1" s="866"/>
      <c r="E1" s="866"/>
      <c r="F1" s="866"/>
    </row>
    <row r="2" spans="1:6" s="380" customFormat="1" ht="18.75">
      <c r="A2" s="880" t="s">
        <v>308</v>
      </c>
      <c r="B2" s="880"/>
      <c r="C2" s="880"/>
      <c r="D2" s="880"/>
      <c r="E2" s="880"/>
      <c r="F2" s="880"/>
    </row>
    <row r="3" spans="1:6" s="380" customFormat="1" ht="15">
      <c r="A3" s="870" t="str">
        <f>+'Exp#PS#cat'!A3:G3</f>
        <v>as of 11/1/15</v>
      </c>
      <c r="B3" s="870"/>
      <c r="C3" s="870"/>
      <c r="D3" s="870"/>
      <c r="E3" s="870"/>
      <c r="F3" s="870"/>
    </row>
    <row r="4" spans="1:6" s="380" customFormat="1" ht="12.75">
      <c r="A4" s="882" t="s">
        <v>12</v>
      </c>
      <c r="B4" s="882"/>
      <c r="C4" s="882"/>
      <c r="D4" s="882"/>
      <c r="E4" s="882"/>
      <c r="F4" s="882"/>
    </row>
    <row r="5" spans="1:6" s="380" customFormat="1" ht="12.75">
      <c r="A5" s="77"/>
      <c r="B5" s="77"/>
      <c r="C5" s="77"/>
      <c r="D5" s="77"/>
      <c r="E5" s="77"/>
      <c r="F5" s="232"/>
    </row>
    <row r="6" spans="1:6" s="380" customFormat="1" ht="7.5" customHeight="1">
      <c r="A6" s="172"/>
      <c r="B6" s="4"/>
      <c r="C6" s="4"/>
      <c r="D6" s="4"/>
      <c r="E6" s="173"/>
      <c r="F6" s="232"/>
    </row>
    <row r="7" spans="1:6" s="380" customFormat="1" ht="7.5" customHeight="1">
      <c r="A7" s="172"/>
      <c r="B7" s="4"/>
      <c r="C7" s="4"/>
      <c r="D7" s="4"/>
      <c r="E7" s="173"/>
      <c r="F7" s="232"/>
    </row>
    <row r="8" spans="1:6" s="380" customFormat="1" ht="13.5" customHeight="1">
      <c r="A8" s="161"/>
      <c r="B8" s="161"/>
      <c r="C8" s="400"/>
      <c r="D8" s="162"/>
      <c r="E8" s="163"/>
      <c r="F8" s="162"/>
    </row>
    <row r="9" spans="1:6" s="381" customFormat="1" ht="13.5" customHeight="1">
      <c r="A9" s="300"/>
      <c r="B9" s="174"/>
      <c r="C9" s="856" t="s">
        <v>390</v>
      </c>
      <c r="D9" s="164"/>
      <c r="E9" s="165"/>
      <c r="F9" s="164"/>
    </row>
    <row r="10" spans="1:6" s="381" customFormat="1" ht="13.5" customHeight="1">
      <c r="A10" s="166"/>
      <c r="C10" s="164" t="s">
        <v>298</v>
      </c>
      <c r="D10" s="164" t="s">
        <v>86</v>
      </c>
      <c r="E10" s="165" t="s">
        <v>84</v>
      </c>
      <c r="F10" s="164" t="s">
        <v>85</v>
      </c>
    </row>
    <row r="11" spans="1:6" s="381" customFormat="1" ht="13.5" customHeight="1">
      <c r="A11" s="166"/>
      <c r="B11" s="301" t="s">
        <v>83</v>
      </c>
      <c r="C11" s="164" t="s">
        <v>5</v>
      </c>
      <c r="D11" s="164" t="s">
        <v>307</v>
      </c>
      <c r="E11" s="165" t="s">
        <v>309</v>
      </c>
      <c r="F11" s="164" t="s">
        <v>87</v>
      </c>
    </row>
    <row r="12" spans="1:6" s="367" customFormat="1" ht="13.5" customHeight="1">
      <c r="A12" s="167"/>
      <c r="B12" s="167"/>
      <c r="C12" s="168"/>
      <c r="D12" s="168"/>
      <c r="E12" s="169"/>
      <c r="F12" s="168"/>
    </row>
    <row r="13" spans="1:6" s="367" customFormat="1" ht="7.5" customHeight="1">
      <c r="A13" s="170"/>
      <c r="B13" s="170"/>
      <c r="C13" s="164"/>
      <c r="D13" s="176"/>
      <c r="E13" s="175"/>
      <c r="F13" s="160"/>
    </row>
    <row r="14" spans="1:6" s="367" customFormat="1" ht="12.75" customHeight="1">
      <c r="A14" s="170" t="s">
        <v>88</v>
      </c>
      <c r="B14" s="170" t="s">
        <v>89</v>
      </c>
      <c r="C14" s="313">
        <v>361274.928</v>
      </c>
      <c r="D14" s="313">
        <v>107983.611</v>
      </c>
      <c r="E14" s="239">
        <f aca="true" t="shared" si="0" ref="E14:E59">D14/C14</f>
        <v>0.2988959449740725</v>
      </c>
      <c r="F14" s="314">
        <f aca="true" t="shared" si="1" ref="F14:F59">C14-D14</f>
        <v>253291.317</v>
      </c>
    </row>
    <row r="15" spans="1:6" s="367" customFormat="1" ht="12.75" customHeight="1">
      <c r="A15" s="170" t="s">
        <v>90</v>
      </c>
      <c r="B15" s="170" t="s">
        <v>91</v>
      </c>
      <c r="C15" s="160">
        <v>63522.398</v>
      </c>
      <c r="D15" s="160">
        <v>30305</v>
      </c>
      <c r="E15" s="239">
        <f t="shared" si="0"/>
        <v>0.4770758182019514</v>
      </c>
      <c r="F15" s="160">
        <f t="shared" si="1"/>
        <v>33217.398</v>
      </c>
    </row>
    <row r="16" spans="1:6" s="367" customFormat="1" ht="12.75" customHeight="1">
      <c r="A16" s="170" t="s">
        <v>92</v>
      </c>
      <c r="B16" s="170" t="s">
        <v>93</v>
      </c>
      <c r="C16" s="160">
        <v>220254.094</v>
      </c>
      <c r="D16" s="160">
        <v>106127.91</v>
      </c>
      <c r="E16" s="239">
        <f t="shared" si="0"/>
        <v>0.4818430752982962</v>
      </c>
      <c r="F16" s="160">
        <f t="shared" si="1"/>
        <v>114126.18400000001</v>
      </c>
    </row>
    <row r="17" spans="1:6" s="367" customFormat="1" ht="12.75" customHeight="1">
      <c r="A17" s="177" t="s">
        <v>94</v>
      </c>
      <c r="B17" s="170" t="s">
        <v>95</v>
      </c>
      <c r="C17" s="160">
        <v>29065.943</v>
      </c>
      <c r="D17" s="160">
        <v>18698.989</v>
      </c>
      <c r="E17" s="239">
        <f t="shared" si="0"/>
        <v>0.6433298585908601</v>
      </c>
      <c r="F17" s="299">
        <f t="shared" si="1"/>
        <v>10366.953999999998</v>
      </c>
    </row>
    <row r="18" spans="1:6" s="367" customFormat="1" ht="12.75" customHeight="1">
      <c r="A18" s="170" t="s">
        <v>96</v>
      </c>
      <c r="B18" s="170" t="s">
        <v>97</v>
      </c>
      <c r="C18" s="160">
        <v>92836.657</v>
      </c>
      <c r="D18" s="160">
        <v>28066.124</v>
      </c>
      <c r="E18" s="239">
        <f t="shared" si="0"/>
        <v>0.30231726245808266</v>
      </c>
      <c r="F18" s="160">
        <f t="shared" si="1"/>
        <v>64770.53300000001</v>
      </c>
    </row>
    <row r="19" spans="1:6" s="367" customFormat="1" ht="12.75" customHeight="1">
      <c r="A19" s="170" t="s">
        <v>98</v>
      </c>
      <c r="B19" s="170" t="s">
        <v>99</v>
      </c>
      <c r="C19" s="160">
        <v>116175.054</v>
      </c>
      <c r="D19" s="160">
        <v>52531.505</v>
      </c>
      <c r="E19" s="239">
        <f t="shared" si="0"/>
        <v>0.4521754300195978</v>
      </c>
      <c r="F19" s="160">
        <f t="shared" si="1"/>
        <v>63643.549000000006</v>
      </c>
    </row>
    <row r="20" spans="1:6" s="367" customFormat="1" ht="12.75" customHeight="1">
      <c r="A20" s="170" t="s">
        <v>100</v>
      </c>
      <c r="B20" s="170" t="s">
        <v>101</v>
      </c>
      <c r="C20" s="160">
        <v>18628.178</v>
      </c>
      <c r="D20" s="160">
        <v>1575.059</v>
      </c>
      <c r="E20" s="239">
        <f t="shared" si="0"/>
        <v>0.08455249890783736</v>
      </c>
      <c r="F20" s="160">
        <f t="shared" si="1"/>
        <v>17053.119</v>
      </c>
    </row>
    <row r="21" spans="1:6" s="367" customFormat="1" ht="12.75" customHeight="1">
      <c r="A21" s="170" t="s">
        <v>102</v>
      </c>
      <c r="B21" s="170" t="s">
        <v>103</v>
      </c>
      <c r="C21" s="160">
        <v>808840.171</v>
      </c>
      <c r="D21" s="160">
        <v>114953.73018000001</v>
      </c>
      <c r="E21" s="239">
        <f t="shared" si="0"/>
        <v>0.14212168769743264</v>
      </c>
      <c r="F21" s="160">
        <f t="shared" si="1"/>
        <v>693886.4408199999</v>
      </c>
    </row>
    <row r="22" spans="1:6" s="367" customFormat="1" ht="12.75" customHeight="1">
      <c r="A22" s="170" t="s">
        <v>104</v>
      </c>
      <c r="B22" s="170" t="s">
        <v>105</v>
      </c>
      <c r="C22" s="160">
        <v>80296.638</v>
      </c>
      <c r="D22" s="160">
        <v>20432.7</v>
      </c>
      <c r="E22" s="239">
        <f t="shared" si="0"/>
        <v>0.25446519940224643</v>
      </c>
      <c r="F22" s="160">
        <f t="shared" si="1"/>
        <v>59863.93800000001</v>
      </c>
    </row>
    <row r="23" spans="1:6" s="367" customFormat="1" ht="12.75" customHeight="1">
      <c r="A23" s="170" t="s">
        <v>106</v>
      </c>
      <c r="B23" s="170" t="s">
        <v>107</v>
      </c>
      <c r="C23" s="160">
        <v>207194.83</v>
      </c>
      <c r="D23" s="160">
        <v>198161.556</v>
      </c>
      <c r="E23" s="239">
        <f t="shared" si="0"/>
        <v>0.9564020299155149</v>
      </c>
      <c r="F23" s="160">
        <f t="shared" si="1"/>
        <v>9033.273999999976</v>
      </c>
    </row>
    <row r="24" spans="1:6" s="367" customFormat="1" ht="12.75" customHeight="1">
      <c r="A24" s="170" t="s">
        <v>108</v>
      </c>
      <c r="B24" s="170" t="s">
        <v>109</v>
      </c>
      <c r="C24" s="160">
        <v>234266.712</v>
      </c>
      <c r="D24" s="160">
        <v>19683.481</v>
      </c>
      <c r="E24" s="239">
        <f t="shared" si="0"/>
        <v>0.0840216726992779</v>
      </c>
      <c r="F24" s="160">
        <f t="shared" si="1"/>
        <v>214583.231</v>
      </c>
    </row>
    <row r="25" spans="1:6" s="367" customFormat="1" ht="12.75" customHeight="1">
      <c r="A25" s="170" t="s">
        <v>242</v>
      </c>
      <c r="B25" s="170" t="s">
        <v>243</v>
      </c>
      <c r="C25" s="160">
        <v>16567.057</v>
      </c>
      <c r="D25" s="160">
        <v>5724.154</v>
      </c>
      <c r="E25" s="239">
        <f t="shared" si="0"/>
        <v>0.34551423345739685</v>
      </c>
      <c r="F25" s="160">
        <f t="shared" si="1"/>
        <v>10842.903</v>
      </c>
    </row>
    <row r="26" spans="1:6" s="367" customFormat="1" ht="12.75" customHeight="1">
      <c r="A26" s="170" t="s">
        <v>110</v>
      </c>
      <c r="B26" s="170" t="s">
        <v>111</v>
      </c>
      <c r="C26" s="160">
        <v>91406.696</v>
      </c>
      <c r="D26" s="160">
        <v>83000</v>
      </c>
      <c r="E26" s="239">
        <f t="shared" si="0"/>
        <v>0.9080297574698467</v>
      </c>
      <c r="F26" s="160">
        <f t="shared" si="1"/>
        <v>8406.695999999996</v>
      </c>
    </row>
    <row r="27" spans="1:6" s="367" customFormat="1" ht="12.75" customHeight="1">
      <c r="A27" s="170" t="s">
        <v>112</v>
      </c>
      <c r="B27" s="170" t="s">
        <v>113</v>
      </c>
      <c r="C27" s="160">
        <v>13444.833</v>
      </c>
      <c r="D27" s="160">
        <v>2928.875</v>
      </c>
      <c r="E27" s="239">
        <f t="shared" si="0"/>
        <v>0.2178439107425135</v>
      </c>
      <c r="F27" s="160">
        <f t="shared" si="1"/>
        <v>10515.958</v>
      </c>
    </row>
    <row r="28" spans="1:6" s="367" customFormat="1" ht="12.75" customHeight="1">
      <c r="A28" s="170" t="s">
        <v>114</v>
      </c>
      <c r="B28" s="170" t="s">
        <v>115</v>
      </c>
      <c r="C28" s="160">
        <v>178.324</v>
      </c>
      <c r="D28" s="187">
        <v>94.707</v>
      </c>
      <c r="E28" s="240">
        <f t="shared" si="0"/>
        <v>0.5310950853502613</v>
      </c>
      <c r="F28" s="160">
        <f t="shared" si="1"/>
        <v>83.61700000000002</v>
      </c>
    </row>
    <row r="29" spans="1:6" s="367" customFormat="1" ht="12.75" customHeight="1">
      <c r="A29" s="170" t="s">
        <v>116</v>
      </c>
      <c r="B29" s="170" t="s">
        <v>117</v>
      </c>
      <c r="C29" s="160">
        <v>1822.224</v>
      </c>
      <c r="D29" s="160">
        <v>372.727</v>
      </c>
      <c r="E29" s="239">
        <f t="shared" si="0"/>
        <v>0.20454510532184847</v>
      </c>
      <c r="F29" s="160">
        <f t="shared" si="1"/>
        <v>1449.4969999999998</v>
      </c>
    </row>
    <row r="30" spans="1:6" s="367" customFormat="1" ht="12.75" customHeight="1">
      <c r="A30" s="170" t="s">
        <v>118</v>
      </c>
      <c r="B30" s="170" t="s">
        <v>119</v>
      </c>
      <c r="C30" s="187">
        <v>26614.631</v>
      </c>
      <c r="D30" s="160">
        <v>25210.267</v>
      </c>
      <c r="E30" s="239">
        <f t="shared" si="0"/>
        <v>0.9472333845244745</v>
      </c>
      <c r="F30" s="160">
        <f t="shared" si="1"/>
        <v>1404.3640000000014</v>
      </c>
    </row>
    <row r="31" spans="1:6" s="367" customFormat="1" ht="12.75" customHeight="1">
      <c r="A31" s="170" t="s">
        <v>120</v>
      </c>
      <c r="B31" s="170" t="s">
        <v>121</v>
      </c>
      <c r="C31" s="160">
        <v>5521.316</v>
      </c>
      <c r="D31" s="160">
        <v>4032.069</v>
      </c>
      <c r="E31" s="239">
        <f t="shared" si="0"/>
        <v>0.7302731812488182</v>
      </c>
      <c r="F31" s="160">
        <f t="shared" si="1"/>
        <v>1489.2469999999998</v>
      </c>
    </row>
    <row r="32" spans="1:6" s="367" customFormat="1" ht="12.75" customHeight="1">
      <c r="A32" s="170" t="s">
        <v>122</v>
      </c>
      <c r="B32" s="170" t="s">
        <v>123</v>
      </c>
      <c r="C32" s="160">
        <v>322.416</v>
      </c>
      <c r="D32" s="160">
        <v>177.496</v>
      </c>
      <c r="E32" s="239">
        <f t="shared" si="0"/>
        <v>0.5505185846856235</v>
      </c>
      <c r="F32" s="160">
        <f t="shared" si="1"/>
        <v>144.92</v>
      </c>
    </row>
    <row r="33" spans="1:6" s="367" customFormat="1" ht="12.75" customHeight="1">
      <c r="A33" s="170" t="s">
        <v>124</v>
      </c>
      <c r="B33" s="170" t="s">
        <v>125</v>
      </c>
      <c r="C33" s="160">
        <v>21396.218</v>
      </c>
      <c r="D33" s="160">
        <v>17334.963</v>
      </c>
      <c r="E33" s="239">
        <f t="shared" si="0"/>
        <v>0.8101881837248059</v>
      </c>
      <c r="F33" s="160">
        <f t="shared" si="1"/>
        <v>4061.255000000001</v>
      </c>
    </row>
    <row r="34" spans="1:6" s="367" customFormat="1" ht="12.75" customHeight="1">
      <c r="A34" s="170" t="s">
        <v>126</v>
      </c>
      <c r="B34" s="170" t="s">
        <v>127</v>
      </c>
      <c r="C34" s="160">
        <v>181.553</v>
      </c>
      <c r="D34" s="160">
        <v>157.175</v>
      </c>
      <c r="E34" s="239">
        <f t="shared" si="0"/>
        <v>0.8657251601460731</v>
      </c>
      <c r="F34" s="160">
        <f t="shared" si="1"/>
        <v>24.377999999999986</v>
      </c>
    </row>
    <row r="35" spans="1:6" s="367" customFormat="1" ht="12.75" customHeight="1">
      <c r="A35" s="170" t="s">
        <v>128</v>
      </c>
      <c r="B35" s="170" t="s">
        <v>129</v>
      </c>
      <c r="C35" s="160">
        <v>4881.781</v>
      </c>
      <c r="D35" s="160">
        <v>1834.261</v>
      </c>
      <c r="E35" s="239">
        <f t="shared" si="0"/>
        <v>0.37573602748668977</v>
      </c>
      <c r="F35" s="160">
        <f t="shared" si="1"/>
        <v>3047.52</v>
      </c>
    </row>
    <row r="36" spans="1:6" s="367" customFormat="1" ht="12.75" customHeight="1">
      <c r="A36" s="170" t="s">
        <v>130</v>
      </c>
      <c r="B36" s="170" t="s">
        <v>131</v>
      </c>
      <c r="C36" s="160">
        <v>53.111</v>
      </c>
      <c r="D36" s="160">
        <v>0</v>
      </c>
      <c r="E36" s="239">
        <f t="shared" si="0"/>
        <v>0</v>
      </c>
      <c r="F36" s="160">
        <f t="shared" si="1"/>
        <v>53.111</v>
      </c>
    </row>
    <row r="37" spans="1:6" s="367" customFormat="1" ht="12.75" customHeight="1">
      <c r="A37" s="170" t="s">
        <v>132</v>
      </c>
      <c r="B37" s="170" t="s">
        <v>133</v>
      </c>
      <c r="C37" s="160">
        <v>1136836.544</v>
      </c>
      <c r="D37" s="160">
        <v>1044029.017</v>
      </c>
      <c r="E37" s="239">
        <f t="shared" si="0"/>
        <v>0.9183633500437509</v>
      </c>
      <c r="F37" s="160">
        <f t="shared" si="1"/>
        <v>92807.527</v>
      </c>
    </row>
    <row r="38" spans="1:6" s="367" customFormat="1" ht="12.75" customHeight="1">
      <c r="A38" s="238" t="s">
        <v>134</v>
      </c>
      <c r="B38" s="170" t="s">
        <v>135</v>
      </c>
      <c r="C38" s="160">
        <v>2851527.864</v>
      </c>
      <c r="D38" s="160">
        <v>2554760.841</v>
      </c>
      <c r="E38" s="239">
        <f t="shared" si="0"/>
        <v>0.8959270127616049</v>
      </c>
      <c r="F38" s="160">
        <f t="shared" si="1"/>
        <v>296767.02300000004</v>
      </c>
    </row>
    <row r="39" spans="1:6" s="367" customFormat="1" ht="12.75" customHeight="1">
      <c r="A39" s="170" t="s">
        <v>136</v>
      </c>
      <c r="B39" s="170" t="s">
        <v>137</v>
      </c>
      <c r="C39" s="160">
        <v>4343.557</v>
      </c>
      <c r="D39" s="160">
        <v>2063.2</v>
      </c>
      <c r="E39" s="239">
        <f t="shared" si="0"/>
        <v>0.4750024001066407</v>
      </c>
      <c r="F39" s="160">
        <f t="shared" si="1"/>
        <v>2280.357</v>
      </c>
    </row>
    <row r="40" spans="1:6" s="367" customFormat="1" ht="12.75" customHeight="1">
      <c r="A40" s="170" t="s">
        <v>138</v>
      </c>
      <c r="B40" s="238" t="s">
        <v>139</v>
      </c>
      <c r="C40" s="160">
        <v>183655.674</v>
      </c>
      <c r="D40" s="160">
        <v>61456.689</v>
      </c>
      <c r="E40" s="239">
        <f t="shared" si="0"/>
        <v>0.3346299499573316</v>
      </c>
      <c r="F40" s="160">
        <f t="shared" si="1"/>
        <v>122198.985</v>
      </c>
    </row>
    <row r="41" spans="1:6" s="367" customFormat="1" ht="12.75" customHeight="1">
      <c r="A41" s="170" t="s">
        <v>140</v>
      </c>
      <c r="B41" s="170" t="s">
        <v>141</v>
      </c>
      <c r="C41" s="160">
        <v>2771.507</v>
      </c>
      <c r="D41" s="160">
        <v>1707.082</v>
      </c>
      <c r="E41" s="239">
        <f t="shared" si="0"/>
        <v>0.6159399922136224</v>
      </c>
      <c r="F41" s="160">
        <f t="shared" si="1"/>
        <v>1064.425</v>
      </c>
    </row>
    <row r="42" spans="1:6" s="367" customFormat="1" ht="12.75" customHeight="1">
      <c r="A42" s="170" t="s">
        <v>142</v>
      </c>
      <c r="B42" s="170" t="s">
        <v>143</v>
      </c>
      <c r="C42" s="160">
        <v>12061.691</v>
      </c>
      <c r="D42" s="160">
        <v>4986.59</v>
      </c>
      <c r="E42" s="239">
        <f t="shared" si="0"/>
        <v>0.413423789417255</v>
      </c>
      <c r="F42" s="187">
        <f t="shared" si="1"/>
        <v>7075.101000000001</v>
      </c>
    </row>
    <row r="43" spans="1:6" s="367" customFormat="1" ht="12.75" customHeight="1">
      <c r="A43" s="170" t="s">
        <v>144</v>
      </c>
      <c r="B43" s="170" t="s">
        <v>145</v>
      </c>
      <c r="C43" s="160">
        <v>1180.393</v>
      </c>
      <c r="D43" s="160">
        <v>768.782</v>
      </c>
      <c r="E43" s="239">
        <f t="shared" si="0"/>
        <v>0.6512932557207642</v>
      </c>
      <c r="F43" s="160">
        <f t="shared" si="1"/>
        <v>411.611</v>
      </c>
    </row>
    <row r="44" spans="1:6" s="367" customFormat="1" ht="12.75" customHeight="1">
      <c r="A44" s="170" t="s">
        <v>146</v>
      </c>
      <c r="B44" s="170" t="s">
        <v>147</v>
      </c>
      <c r="C44" s="187">
        <v>51016.961</v>
      </c>
      <c r="D44" s="160">
        <v>44342.216</v>
      </c>
      <c r="E44" s="239">
        <f t="shared" si="0"/>
        <v>0.8691661582899851</v>
      </c>
      <c r="F44" s="187">
        <f t="shared" si="1"/>
        <v>6674.745000000003</v>
      </c>
    </row>
    <row r="45" spans="1:6" s="367" customFormat="1" ht="12.75" customHeight="1">
      <c r="A45" s="238" t="s">
        <v>148</v>
      </c>
      <c r="B45" s="170" t="s">
        <v>149</v>
      </c>
      <c r="C45" s="160">
        <v>811570.158</v>
      </c>
      <c r="D45" s="160">
        <v>464097.26</v>
      </c>
      <c r="E45" s="239">
        <f t="shared" si="0"/>
        <v>0.5718510660171415</v>
      </c>
      <c r="F45" s="160">
        <f t="shared" si="1"/>
        <v>347472.89800000004</v>
      </c>
    </row>
    <row r="46" spans="1:6" s="367" customFormat="1" ht="12.75" customHeight="1">
      <c r="A46" s="170" t="s">
        <v>150</v>
      </c>
      <c r="B46" s="170" t="s">
        <v>151</v>
      </c>
      <c r="C46" s="160">
        <v>139896.355</v>
      </c>
      <c r="D46" s="160">
        <v>92538.345</v>
      </c>
      <c r="E46" s="239">
        <f t="shared" si="0"/>
        <v>0.6614778848240899</v>
      </c>
      <c r="F46" s="160">
        <f t="shared" si="1"/>
        <v>47358.01000000001</v>
      </c>
    </row>
    <row r="47" spans="1:6" s="367" customFormat="1" ht="12.75" customHeight="1">
      <c r="A47" s="170" t="s">
        <v>152</v>
      </c>
      <c r="B47" s="170" t="s">
        <v>153</v>
      </c>
      <c r="C47" s="160">
        <v>89077.637</v>
      </c>
      <c r="D47" s="160">
        <v>40857.373</v>
      </c>
      <c r="E47" s="239">
        <f t="shared" si="0"/>
        <v>0.45867149574252847</v>
      </c>
      <c r="F47" s="160">
        <f t="shared" si="1"/>
        <v>48220.264</v>
      </c>
    </row>
    <row r="48" spans="1:6" s="367" customFormat="1" ht="12.75" customHeight="1">
      <c r="A48" s="170" t="s">
        <v>154</v>
      </c>
      <c r="B48" s="170" t="s">
        <v>155</v>
      </c>
      <c r="C48" s="160">
        <v>379.43</v>
      </c>
      <c r="D48" s="160">
        <v>346.183</v>
      </c>
      <c r="E48" s="239">
        <f t="shared" si="0"/>
        <v>0.912376459425981</v>
      </c>
      <c r="F48" s="160">
        <f t="shared" si="1"/>
        <v>33.247000000000014</v>
      </c>
    </row>
    <row r="49" spans="1:6" s="367" customFormat="1" ht="12.75" customHeight="1">
      <c r="A49" s="170" t="s">
        <v>156</v>
      </c>
      <c r="B49" s="170" t="s">
        <v>157</v>
      </c>
      <c r="C49" s="160">
        <v>1262</v>
      </c>
      <c r="D49" s="160">
        <v>0</v>
      </c>
      <c r="E49" s="239">
        <f t="shared" si="0"/>
        <v>0</v>
      </c>
      <c r="F49" s="160">
        <f t="shared" si="1"/>
        <v>1262</v>
      </c>
    </row>
    <row r="50" spans="1:6" s="367" customFormat="1" ht="12.75" customHeight="1">
      <c r="A50" s="170" t="s">
        <v>158</v>
      </c>
      <c r="B50" s="170" t="s">
        <v>159</v>
      </c>
      <c r="C50" s="160">
        <v>49462.932</v>
      </c>
      <c r="D50" s="160">
        <v>22414.571</v>
      </c>
      <c r="E50" s="239">
        <f t="shared" si="0"/>
        <v>0.4531589635648772</v>
      </c>
      <c r="F50" s="160">
        <f t="shared" si="1"/>
        <v>27048.361</v>
      </c>
    </row>
    <row r="51" spans="1:6" s="367" customFormat="1" ht="12.75" customHeight="1">
      <c r="A51" s="170" t="s">
        <v>160</v>
      </c>
      <c r="B51" s="170" t="s">
        <v>161</v>
      </c>
      <c r="C51" s="160">
        <v>23137.13</v>
      </c>
      <c r="D51" s="160">
        <v>19366.114</v>
      </c>
      <c r="E51" s="239">
        <f t="shared" si="0"/>
        <v>0.8370145303242018</v>
      </c>
      <c r="F51" s="160">
        <f t="shared" si="1"/>
        <v>3771.0159999999996</v>
      </c>
    </row>
    <row r="52" spans="1:6" s="367" customFormat="1" ht="12.75" customHeight="1">
      <c r="A52" s="170" t="s">
        <v>162</v>
      </c>
      <c r="B52" s="170" t="s">
        <v>163</v>
      </c>
      <c r="C52" s="160">
        <v>98.103</v>
      </c>
      <c r="D52" s="160">
        <v>7.904</v>
      </c>
      <c r="E52" s="239">
        <f t="shared" si="0"/>
        <v>0.08056838221053383</v>
      </c>
      <c r="F52" s="160">
        <f t="shared" si="1"/>
        <v>90.199</v>
      </c>
    </row>
    <row r="53" spans="1:6" s="367" customFormat="1" ht="12.75" customHeight="1">
      <c r="A53" s="170" t="s">
        <v>164</v>
      </c>
      <c r="B53" s="170" t="s">
        <v>165</v>
      </c>
      <c r="C53" s="160">
        <v>31027.745</v>
      </c>
      <c r="D53" s="160">
        <v>2077.654</v>
      </c>
      <c r="E53" s="239">
        <f t="shared" si="0"/>
        <v>0.06696116653014907</v>
      </c>
      <c r="F53" s="160">
        <f t="shared" si="1"/>
        <v>28950.091</v>
      </c>
    </row>
    <row r="54" spans="1:6" s="367" customFormat="1" ht="12.75" customHeight="1">
      <c r="A54" s="170" t="s">
        <v>166</v>
      </c>
      <c r="B54" s="170" t="s">
        <v>167</v>
      </c>
      <c r="C54" s="160">
        <v>2390.161</v>
      </c>
      <c r="D54" s="160">
        <v>597.991</v>
      </c>
      <c r="E54" s="239">
        <f t="shared" si="0"/>
        <v>0.2501885856224748</v>
      </c>
      <c r="F54" s="160">
        <f t="shared" si="1"/>
        <v>1792.17</v>
      </c>
    </row>
    <row r="55" spans="1:6" s="367" customFormat="1" ht="12.75" customHeight="1">
      <c r="A55" s="170" t="s">
        <v>168</v>
      </c>
      <c r="B55" s="170" t="s">
        <v>169</v>
      </c>
      <c r="C55" s="160">
        <v>45135.001</v>
      </c>
      <c r="D55" s="160">
        <v>150</v>
      </c>
      <c r="E55" s="239">
        <f t="shared" si="0"/>
        <v>0.003323363169970906</v>
      </c>
      <c r="F55" s="160">
        <f t="shared" si="1"/>
        <v>44985.001</v>
      </c>
    </row>
    <row r="56" spans="1:6" s="367" customFormat="1" ht="12.75" customHeight="1">
      <c r="A56" s="170" t="s">
        <v>170</v>
      </c>
      <c r="B56" s="170" t="s">
        <v>171</v>
      </c>
      <c r="C56" s="160">
        <v>15450.338</v>
      </c>
      <c r="D56" s="160">
        <v>1111.083</v>
      </c>
      <c r="E56" s="239">
        <f t="shared" si="0"/>
        <v>0.07191318403519717</v>
      </c>
      <c r="F56" s="160">
        <f t="shared" si="1"/>
        <v>14339.255</v>
      </c>
    </row>
    <row r="57" spans="1:6" s="367" customFormat="1" ht="12.75" customHeight="1">
      <c r="A57" s="170" t="s">
        <v>172</v>
      </c>
      <c r="B57" s="170" t="s">
        <v>173</v>
      </c>
      <c r="C57" s="160">
        <v>3826.05</v>
      </c>
      <c r="D57" s="160">
        <v>789.244</v>
      </c>
      <c r="E57" s="239">
        <f t="shared" si="0"/>
        <v>0.20628167431162686</v>
      </c>
      <c r="F57" s="160">
        <f t="shared" si="1"/>
        <v>3036.806</v>
      </c>
    </row>
    <row r="58" spans="1:6" s="367" customFormat="1" ht="12.75" customHeight="1">
      <c r="A58" s="170" t="s">
        <v>174</v>
      </c>
      <c r="B58" s="170" t="s">
        <v>175</v>
      </c>
      <c r="C58" s="160">
        <v>45746.25</v>
      </c>
      <c r="D58" s="160">
        <v>11717.813</v>
      </c>
      <c r="E58" s="239">
        <f t="shared" si="0"/>
        <v>0.2561480558515725</v>
      </c>
      <c r="F58" s="160">
        <f t="shared" si="1"/>
        <v>34028.437</v>
      </c>
    </row>
    <row r="59" spans="1:6" s="367" customFormat="1" ht="12.75" customHeight="1">
      <c r="A59" s="238" t="s">
        <v>176</v>
      </c>
      <c r="B59" s="367" t="s">
        <v>177</v>
      </c>
      <c r="C59" s="187">
        <v>10.626</v>
      </c>
      <c r="D59" s="187">
        <v>9.575</v>
      </c>
      <c r="E59" s="240">
        <f t="shared" si="0"/>
        <v>0.9010916619612271</v>
      </c>
      <c r="F59" s="187">
        <f t="shared" si="1"/>
        <v>1.0510000000000002</v>
      </c>
    </row>
    <row r="60" spans="1:6" s="367" customFormat="1" ht="8.25" customHeight="1" thickBot="1">
      <c r="A60" s="178"/>
      <c r="B60" s="170"/>
      <c r="C60" s="148"/>
      <c r="D60" s="178"/>
      <c r="E60" s="178"/>
      <c r="F60" s="233"/>
    </row>
    <row r="61" spans="1:6" s="798" customFormat="1" ht="15" customHeight="1" thickBot="1" thickTop="1">
      <c r="A61" s="791" t="s">
        <v>178</v>
      </c>
      <c r="B61" s="791"/>
      <c r="C61" s="796">
        <f>SUM(C14:C60)</f>
        <v>7916609.870000001</v>
      </c>
      <c r="D61" s="277">
        <f>SUM(D14:D59)</f>
        <v>5209581.886180001</v>
      </c>
      <c r="E61" s="797">
        <f>+D61/C61</f>
        <v>0.6580571698905759</v>
      </c>
      <c r="F61" s="277">
        <f>SUM(F14:F59)</f>
        <v>2707027.98382</v>
      </c>
    </row>
    <row r="62" spans="2:6" ht="13.5" thickTop="1">
      <c r="B62" s="186"/>
      <c r="C62"/>
      <c r="E62" s="179"/>
      <c r="F62" s="233"/>
    </row>
  </sheetData>
  <sheetProtection/>
  <mergeCells count="4">
    <mergeCell ref="A1:F1"/>
    <mergeCell ref="A2:F2"/>
    <mergeCell ref="A3:F3"/>
    <mergeCell ref="A4:F4"/>
  </mergeCells>
  <printOptions horizontalCentered="1"/>
  <pageMargins left="0" right="0" top="0.5" bottom="0.5" header="0" footer="0.25"/>
  <pageSetup horizontalDpi="600" verticalDpi="600" orientation="portrait" scale="90" r:id="rId1"/>
  <headerFooter alignWithMargins="0">
    <oddFooter>&amp;C&amp;11- 11 -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O1"/>
    </sheetView>
  </sheetViews>
  <sheetFormatPr defaultColWidth="11.57421875" defaultRowHeight="12.75"/>
  <cols>
    <col min="1" max="1" width="6.421875" style="477" customWidth="1"/>
    <col min="2" max="2" width="11.57421875" style="96" customWidth="1"/>
    <col min="3" max="3" width="29.7109375" style="477" customWidth="1"/>
    <col min="4" max="4" width="7.7109375" style="96" customWidth="1"/>
    <col min="5" max="5" width="8.140625" style="96" customWidth="1"/>
    <col min="6" max="6" width="7.28125" style="96" customWidth="1"/>
    <col min="7" max="7" width="8.7109375" style="476" customWidth="1"/>
    <col min="8" max="8" width="6.28125" style="96" customWidth="1"/>
    <col min="9" max="9" width="7.28125" style="96" customWidth="1"/>
    <col min="10" max="10" width="6.57421875" style="96" customWidth="1"/>
    <col min="11" max="11" width="8.00390625" style="96" customWidth="1"/>
    <col min="12" max="12" width="6.8515625" style="476" customWidth="1"/>
    <col min="13" max="13" width="8.140625" style="96" customWidth="1"/>
    <col min="14" max="14" width="6.8515625" style="96" customWidth="1"/>
    <col min="15" max="15" width="8.140625" style="476" customWidth="1"/>
    <col min="16" max="16384" width="11.57421875" style="96" customWidth="1"/>
  </cols>
  <sheetData>
    <row r="1" spans="1:15" s="476" customFormat="1" ht="26.25">
      <c r="A1" s="883" t="s">
        <v>82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</row>
    <row r="2" spans="1:15" ht="23.25">
      <c r="A2" s="884" t="s">
        <v>441</v>
      </c>
      <c r="B2" s="884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</row>
    <row r="3" spans="1:15" ht="15">
      <c r="A3" s="885" t="s">
        <v>552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</row>
    <row r="5" spans="1:15" ht="12.75">
      <c r="A5" s="478"/>
      <c r="B5" s="479"/>
      <c r="C5" s="480"/>
      <c r="D5" s="886" t="s">
        <v>442</v>
      </c>
      <c r="E5" s="887"/>
      <c r="F5" s="887"/>
      <c r="G5" s="888"/>
      <c r="H5" s="889" t="s">
        <v>443</v>
      </c>
      <c r="I5" s="890"/>
      <c r="J5" s="890"/>
      <c r="K5" s="890"/>
      <c r="L5" s="891"/>
      <c r="M5" s="481"/>
      <c r="N5" s="482"/>
      <c r="O5" s="483"/>
    </row>
    <row r="6" spans="1:15" ht="12">
      <c r="A6" s="484"/>
      <c r="B6" s="485"/>
      <c r="C6" s="486"/>
      <c r="D6" s="487"/>
      <c r="E6" s="488"/>
      <c r="F6" s="488"/>
      <c r="G6" s="489"/>
      <c r="H6" s="423"/>
      <c r="I6" s="488"/>
      <c r="J6" s="488"/>
      <c r="K6" s="488"/>
      <c r="L6" s="489"/>
      <c r="M6" s="490"/>
      <c r="N6" s="488"/>
      <c r="O6" s="489"/>
    </row>
    <row r="7" spans="1:15" ht="12">
      <c r="A7" s="726"/>
      <c r="C7" s="491"/>
      <c r="D7" s="492"/>
      <c r="E7" s="493" t="s">
        <v>444</v>
      </c>
      <c r="F7" s="493"/>
      <c r="G7" s="494"/>
      <c r="H7" s="493" t="s">
        <v>445</v>
      </c>
      <c r="I7" s="493"/>
      <c r="J7" s="493" t="s">
        <v>446</v>
      </c>
      <c r="K7" s="493" t="s">
        <v>447</v>
      </c>
      <c r="L7" s="494"/>
      <c r="M7" s="492"/>
      <c r="N7" s="493" t="s">
        <v>338</v>
      </c>
      <c r="O7" s="494" t="s">
        <v>448</v>
      </c>
    </row>
    <row r="8" spans="1:15" ht="12" customHeight="1">
      <c r="A8" s="495"/>
      <c r="B8" s="496"/>
      <c r="C8" s="497"/>
      <c r="D8" s="498"/>
      <c r="E8" s="493" t="s">
        <v>449</v>
      </c>
      <c r="F8" s="493" t="s">
        <v>450</v>
      </c>
      <c r="G8" s="494"/>
      <c r="H8" s="499" t="s">
        <v>451</v>
      </c>
      <c r="I8" s="499" t="s">
        <v>452</v>
      </c>
      <c r="J8" s="499" t="s">
        <v>450</v>
      </c>
      <c r="K8" s="499" t="s">
        <v>450</v>
      </c>
      <c r="L8" s="494"/>
      <c r="M8" s="492" t="s">
        <v>338</v>
      </c>
      <c r="N8" s="499" t="s">
        <v>450</v>
      </c>
      <c r="O8" s="494" t="s">
        <v>338</v>
      </c>
    </row>
    <row r="9" spans="1:15" ht="12" customHeight="1">
      <c r="A9" s="727" t="s">
        <v>4</v>
      </c>
      <c r="B9" s="491"/>
      <c r="C9" s="501"/>
      <c r="D9" s="492" t="s">
        <v>453</v>
      </c>
      <c r="E9" s="500" t="s">
        <v>453</v>
      </c>
      <c r="F9" s="500" t="s">
        <v>453</v>
      </c>
      <c r="G9" s="502" t="s">
        <v>454</v>
      </c>
      <c r="H9" s="503" t="s">
        <v>453</v>
      </c>
      <c r="I9" s="503" t="s">
        <v>455</v>
      </c>
      <c r="J9" s="503" t="s">
        <v>453</v>
      </c>
      <c r="K9" s="503" t="s">
        <v>453</v>
      </c>
      <c r="L9" s="504" t="s">
        <v>454</v>
      </c>
      <c r="M9" s="505" t="s">
        <v>453</v>
      </c>
      <c r="N9" s="503" t="s">
        <v>453</v>
      </c>
      <c r="O9" s="504" t="s">
        <v>456</v>
      </c>
    </row>
    <row r="10" spans="1:15" s="631" customFormat="1" ht="12">
      <c r="A10" s="506"/>
      <c r="B10" s="507"/>
      <c r="C10" s="508"/>
      <c r="D10" s="509"/>
      <c r="E10" s="510"/>
      <c r="F10" s="510"/>
      <c r="G10" s="511"/>
      <c r="H10" s="510"/>
      <c r="I10" s="510"/>
      <c r="J10" s="510"/>
      <c r="K10" s="510"/>
      <c r="L10" s="512"/>
      <c r="M10" s="509"/>
      <c r="N10" s="510"/>
      <c r="O10" s="511"/>
    </row>
    <row r="11" spans="1:15" ht="12">
      <c r="A11" s="513">
        <v>401</v>
      </c>
      <c r="B11" s="514" t="s">
        <v>457</v>
      </c>
      <c r="C11" s="486"/>
      <c r="D11" s="515">
        <v>58087</v>
      </c>
      <c r="E11" s="516">
        <v>1113</v>
      </c>
      <c r="F11" s="516">
        <v>2758</v>
      </c>
      <c r="G11" s="517">
        <f>SUM(D11:F11)</f>
        <v>61958</v>
      </c>
      <c r="H11" s="518">
        <v>295</v>
      </c>
      <c r="I11" s="518">
        <v>21</v>
      </c>
      <c r="J11" s="518">
        <v>0</v>
      </c>
      <c r="K11" s="518">
        <v>5947</v>
      </c>
      <c r="L11" s="519">
        <f>SUM(H11:K11)</f>
        <v>6263</v>
      </c>
      <c r="M11" s="520">
        <f aca="true" t="shared" si="0" ref="M11:M28">D11+E11+H11</f>
        <v>59495</v>
      </c>
      <c r="N11" s="521">
        <f aca="true" t="shared" si="1" ref="N11:N28">F11+I11+J11+K11</f>
        <v>8726</v>
      </c>
      <c r="O11" s="519">
        <f aca="true" t="shared" si="2" ref="O11:O28">M11+N11</f>
        <v>68221</v>
      </c>
    </row>
    <row r="12" spans="1:15" ht="12.75" thickBot="1">
      <c r="A12" s="522"/>
      <c r="B12" s="523" t="s">
        <v>458</v>
      </c>
      <c r="C12" s="524"/>
      <c r="D12" s="525">
        <v>3238</v>
      </c>
      <c r="E12" s="526">
        <v>2</v>
      </c>
      <c r="F12" s="526">
        <v>18</v>
      </c>
      <c r="G12" s="527">
        <f>SUM(D12:F12)</f>
        <v>3258</v>
      </c>
      <c r="H12" s="528">
        <v>10</v>
      </c>
      <c r="I12" s="528">
        <v>0</v>
      </c>
      <c r="J12" s="528">
        <v>0</v>
      </c>
      <c r="K12" s="528">
        <v>181</v>
      </c>
      <c r="L12" s="529">
        <f aca="true" t="shared" si="3" ref="L12:L40">SUM(H12:K12)</f>
        <v>191</v>
      </c>
      <c r="M12" s="530">
        <f t="shared" si="0"/>
        <v>3250</v>
      </c>
      <c r="N12" s="531">
        <f t="shared" si="1"/>
        <v>199</v>
      </c>
      <c r="O12" s="532">
        <f t="shared" si="2"/>
        <v>3449</v>
      </c>
    </row>
    <row r="13" spans="1:15" ht="12">
      <c r="A13" s="513">
        <v>403</v>
      </c>
      <c r="B13" s="533" t="s">
        <v>459</v>
      </c>
      <c r="C13" s="486"/>
      <c r="D13" s="515">
        <v>15252</v>
      </c>
      <c r="E13" s="516">
        <v>9262</v>
      </c>
      <c r="F13" s="516">
        <v>4</v>
      </c>
      <c r="G13" s="517">
        <f aca="true" t="shared" si="4" ref="G13:G27">SUM(D13:F13)</f>
        <v>24518</v>
      </c>
      <c r="H13" s="518">
        <v>47</v>
      </c>
      <c r="I13" s="518">
        <v>0</v>
      </c>
      <c r="J13" s="518">
        <v>0</v>
      </c>
      <c r="K13" s="518">
        <v>18</v>
      </c>
      <c r="L13" s="519">
        <f t="shared" si="3"/>
        <v>65</v>
      </c>
      <c r="M13" s="520">
        <f t="shared" si="0"/>
        <v>24561</v>
      </c>
      <c r="N13" s="521">
        <f t="shared" si="1"/>
        <v>22</v>
      </c>
      <c r="O13" s="519">
        <f t="shared" si="2"/>
        <v>24583</v>
      </c>
    </row>
    <row r="14" spans="1:15" ht="12.75" thickBot="1">
      <c r="A14" s="522"/>
      <c r="B14" s="523" t="s">
        <v>458</v>
      </c>
      <c r="C14" s="524"/>
      <c r="D14" s="525">
        <v>84</v>
      </c>
      <c r="E14" s="526">
        <v>0</v>
      </c>
      <c r="F14" s="526">
        <v>0</v>
      </c>
      <c r="G14" s="534">
        <f>SUM(C14:F14)</f>
        <v>84</v>
      </c>
      <c r="H14" s="528">
        <v>0</v>
      </c>
      <c r="I14" s="528">
        <v>0</v>
      </c>
      <c r="J14" s="528">
        <v>0</v>
      </c>
      <c r="K14" s="528">
        <v>0</v>
      </c>
      <c r="L14" s="535">
        <f t="shared" si="3"/>
        <v>0</v>
      </c>
      <c r="M14" s="536">
        <f t="shared" si="0"/>
        <v>84</v>
      </c>
      <c r="N14" s="537">
        <f t="shared" si="1"/>
        <v>0</v>
      </c>
      <c r="O14" s="538">
        <f t="shared" si="2"/>
        <v>84</v>
      </c>
    </row>
    <row r="15" spans="1:15" ht="12">
      <c r="A15" s="513">
        <v>407</v>
      </c>
      <c r="B15" s="548" t="s">
        <v>391</v>
      </c>
      <c r="C15" s="486"/>
      <c r="D15" s="515">
        <v>35</v>
      </c>
      <c r="E15" s="516">
        <v>0</v>
      </c>
      <c r="F15" s="516">
        <v>0</v>
      </c>
      <c r="G15" s="731">
        <f t="shared" si="4"/>
        <v>35</v>
      </c>
      <c r="H15" s="518">
        <v>0</v>
      </c>
      <c r="I15" s="518">
        <v>0</v>
      </c>
      <c r="J15" s="518">
        <v>0</v>
      </c>
      <c r="K15" s="518">
        <v>44</v>
      </c>
      <c r="L15" s="732">
        <f t="shared" si="3"/>
        <v>44</v>
      </c>
      <c r="M15" s="733">
        <f>D15+E15+H15</f>
        <v>35</v>
      </c>
      <c r="N15" s="734">
        <f>F15+I15+J15+K15</f>
        <v>44</v>
      </c>
      <c r="O15" s="735">
        <f t="shared" si="2"/>
        <v>79</v>
      </c>
    </row>
    <row r="16" spans="1:15" ht="12.75" thickBot="1">
      <c r="A16" s="513"/>
      <c r="B16" s="523" t="s">
        <v>458</v>
      </c>
      <c r="C16" s="486"/>
      <c r="D16" s="515">
        <v>2496</v>
      </c>
      <c r="E16" s="516">
        <v>1752</v>
      </c>
      <c r="F16" s="516">
        <v>170</v>
      </c>
      <c r="G16" s="731">
        <f t="shared" si="4"/>
        <v>4418</v>
      </c>
      <c r="H16" s="518">
        <v>3</v>
      </c>
      <c r="I16" s="518">
        <v>0</v>
      </c>
      <c r="J16" s="518">
        <v>0</v>
      </c>
      <c r="K16" s="518">
        <v>17</v>
      </c>
      <c r="L16" s="732">
        <f t="shared" si="3"/>
        <v>20</v>
      </c>
      <c r="M16" s="733">
        <f>D16+E16+H16</f>
        <v>4251</v>
      </c>
      <c r="N16" s="734">
        <f>F16+I16+J16+K16</f>
        <v>187</v>
      </c>
      <c r="O16" s="735">
        <f t="shared" si="2"/>
        <v>4438</v>
      </c>
    </row>
    <row r="17" spans="1:15" ht="12">
      <c r="A17" s="625">
        <v>415</v>
      </c>
      <c r="B17" s="736" t="s">
        <v>460</v>
      </c>
      <c r="C17" s="626"/>
      <c r="D17" s="737">
        <v>1094</v>
      </c>
      <c r="E17" s="738">
        <v>0</v>
      </c>
      <c r="F17" s="738">
        <v>1339</v>
      </c>
      <c r="G17" s="739">
        <f t="shared" si="4"/>
        <v>2433</v>
      </c>
      <c r="H17" s="740">
        <v>0</v>
      </c>
      <c r="I17" s="740">
        <v>4</v>
      </c>
      <c r="J17" s="740">
        <v>0</v>
      </c>
      <c r="K17" s="740">
        <v>47</v>
      </c>
      <c r="L17" s="741">
        <f t="shared" si="3"/>
        <v>51</v>
      </c>
      <c r="M17" s="742">
        <f t="shared" si="0"/>
        <v>1094</v>
      </c>
      <c r="N17" s="743">
        <f t="shared" si="1"/>
        <v>1390</v>
      </c>
      <c r="O17" s="741">
        <f t="shared" si="2"/>
        <v>2484</v>
      </c>
    </row>
    <row r="18" spans="1:15" ht="12.75" thickBot="1">
      <c r="A18" s="522"/>
      <c r="B18" s="523" t="s">
        <v>458</v>
      </c>
      <c r="C18" s="524"/>
      <c r="D18" s="525">
        <v>0</v>
      </c>
      <c r="E18" s="526">
        <v>0</v>
      </c>
      <c r="F18" s="526">
        <v>0</v>
      </c>
      <c r="G18" s="527">
        <f t="shared" si="4"/>
        <v>0</v>
      </c>
      <c r="H18" s="528">
        <v>0</v>
      </c>
      <c r="I18" s="528">
        <v>0</v>
      </c>
      <c r="J18" s="528">
        <v>0</v>
      </c>
      <c r="K18" s="528">
        <v>0</v>
      </c>
      <c r="L18" s="535">
        <f t="shared" si="3"/>
        <v>0</v>
      </c>
      <c r="M18" s="539">
        <f t="shared" si="0"/>
        <v>0</v>
      </c>
      <c r="N18" s="537">
        <f t="shared" si="1"/>
        <v>0</v>
      </c>
      <c r="O18" s="540">
        <f t="shared" si="2"/>
        <v>0</v>
      </c>
    </row>
    <row r="19" spans="1:15" ht="12">
      <c r="A19" s="513">
        <v>421</v>
      </c>
      <c r="B19" s="533" t="s">
        <v>461</v>
      </c>
      <c r="C19" s="486"/>
      <c r="D19" s="515">
        <v>6714</v>
      </c>
      <c r="E19" s="516">
        <v>6963</v>
      </c>
      <c r="F19" s="516">
        <v>945</v>
      </c>
      <c r="G19" s="517">
        <f t="shared" si="4"/>
        <v>14622</v>
      </c>
      <c r="H19" s="518">
        <v>27</v>
      </c>
      <c r="I19" s="518">
        <v>20</v>
      </c>
      <c r="J19" s="518">
        <v>0</v>
      </c>
      <c r="K19" s="518">
        <v>324</v>
      </c>
      <c r="L19" s="519">
        <f t="shared" si="3"/>
        <v>371</v>
      </c>
      <c r="M19" s="520">
        <f t="shared" si="0"/>
        <v>13704</v>
      </c>
      <c r="N19" s="521">
        <f t="shared" si="1"/>
        <v>1289</v>
      </c>
      <c r="O19" s="519">
        <f t="shared" si="2"/>
        <v>14993</v>
      </c>
    </row>
    <row r="20" spans="1:15" ht="12.75" thickBot="1">
      <c r="A20" s="522"/>
      <c r="B20" s="523" t="s">
        <v>458</v>
      </c>
      <c r="C20" s="524"/>
      <c r="D20" s="525">
        <v>1</v>
      </c>
      <c r="E20" s="526">
        <v>0</v>
      </c>
      <c r="F20" s="526">
        <v>1</v>
      </c>
      <c r="G20" s="527">
        <f t="shared" si="4"/>
        <v>2</v>
      </c>
      <c r="H20" s="528">
        <v>0</v>
      </c>
      <c r="I20" s="528">
        <v>0</v>
      </c>
      <c r="J20" s="528">
        <v>0</v>
      </c>
      <c r="K20" s="528">
        <v>3</v>
      </c>
      <c r="L20" s="529">
        <f t="shared" si="3"/>
        <v>3</v>
      </c>
      <c r="M20" s="530">
        <f t="shared" si="0"/>
        <v>1</v>
      </c>
      <c r="N20" s="531">
        <f t="shared" si="1"/>
        <v>4</v>
      </c>
      <c r="O20" s="532">
        <f t="shared" si="2"/>
        <v>5</v>
      </c>
    </row>
    <row r="21" spans="1:15" ht="12">
      <c r="A21" s="513">
        <v>423</v>
      </c>
      <c r="B21" s="541" t="s">
        <v>462</v>
      </c>
      <c r="C21" s="486"/>
      <c r="D21" s="515">
        <v>1025</v>
      </c>
      <c r="E21" s="516">
        <v>0</v>
      </c>
      <c r="F21" s="516">
        <v>1975</v>
      </c>
      <c r="G21" s="517">
        <f t="shared" si="4"/>
        <v>3000</v>
      </c>
      <c r="H21" s="518">
        <v>4</v>
      </c>
      <c r="I21" s="518">
        <v>43</v>
      </c>
      <c r="J21" s="518">
        <v>0</v>
      </c>
      <c r="K21" s="518">
        <v>710</v>
      </c>
      <c r="L21" s="542">
        <f t="shared" si="3"/>
        <v>757</v>
      </c>
      <c r="M21" s="543">
        <f t="shared" si="0"/>
        <v>1029</v>
      </c>
      <c r="N21" s="544">
        <f t="shared" si="1"/>
        <v>2728</v>
      </c>
      <c r="O21" s="519">
        <f t="shared" si="2"/>
        <v>3757</v>
      </c>
    </row>
    <row r="22" spans="1:15" ht="12.75" thickBot="1">
      <c r="A22" s="522"/>
      <c r="B22" s="523" t="s">
        <v>458</v>
      </c>
      <c r="C22" s="524"/>
      <c r="D22" s="525">
        <v>0</v>
      </c>
      <c r="E22" s="526">
        <v>0</v>
      </c>
      <c r="F22" s="526">
        <v>0</v>
      </c>
      <c r="G22" s="534">
        <f>SUM(C22:F22)</f>
        <v>0</v>
      </c>
      <c r="H22" s="528">
        <v>0</v>
      </c>
      <c r="I22" s="528">
        <v>0</v>
      </c>
      <c r="J22" s="528">
        <v>0</v>
      </c>
      <c r="K22" s="528">
        <v>0</v>
      </c>
      <c r="L22" s="535">
        <f t="shared" si="3"/>
        <v>0</v>
      </c>
      <c r="M22" s="539">
        <f t="shared" si="0"/>
        <v>0</v>
      </c>
      <c r="N22" s="537">
        <f t="shared" si="1"/>
        <v>0</v>
      </c>
      <c r="O22" s="540">
        <f t="shared" si="2"/>
        <v>0</v>
      </c>
    </row>
    <row r="23" spans="1:15" ht="12">
      <c r="A23" s="513">
        <v>435</v>
      </c>
      <c r="B23" s="541" t="s">
        <v>463</v>
      </c>
      <c r="C23" s="486"/>
      <c r="D23" s="515">
        <v>0</v>
      </c>
      <c r="E23" s="516">
        <v>0</v>
      </c>
      <c r="F23" s="516">
        <v>604</v>
      </c>
      <c r="G23" s="517">
        <f t="shared" si="4"/>
        <v>604</v>
      </c>
      <c r="H23" s="518">
        <v>0</v>
      </c>
      <c r="I23" s="518">
        <v>1</v>
      </c>
      <c r="J23" s="518">
        <v>731</v>
      </c>
      <c r="K23" s="518">
        <v>0</v>
      </c>
      <c r="L23" s="519">
        <f t="shared" si="3"/>
        <v>732</v>
      </c>
      <c r="M23" s="545">
        <f t="shared" si="0"/>
        <v>0</v>
      </c>
      <c r="N23" s="521">
        <f>F23+I23+J23+K23</f>
        <v>1336</v>
      </c>
      <c r="O23" s="519">
        <f t="shared" si="2"/>
        <v>1336</v>
      </c>
    </row>
    <row r="24" spans="1:15" ht="12.75" thickBot="1">
      <c r="A24" s="522"/>
      <c r="B24" s="523" t="s">
        <v>458</v>
      </c>
      <c r="C24" s="524"/>
      <c r="D24" s="525">
        <v>0</v>
      </c>
      <c r="E24" s="526">
        <v>0</v>
      </c>
      <c r="F24" s="526">
        <v>0</v>
      </c>
      <c r="G24" s="527">
        <f t="shared" si="4"/>
        <v>0</v>
      </c>
      <c r="H24" s="528">
        <v>0</v>
      </c>
      <c r="I24" s="528">
        <v>0</v>
      </c>
      <c r="J24" s="528">
        <v>0</v>
      </c>
      <c r="K24" s="528">
        <v>0</v>
      </c>
      <c r="L24" s="535">
        <f t="shared" si="3"/>
        <v>0</v>
      </c>
      <c r="M24" s="539">
        <f t="shared" si="0"/>
        <v>0</v>
      </c>
      <c r="N24" s="531">
        <f t="shared" si="1"/>
        <v>0</v>
      </c>
      <c r="O24" s="532">
        <f t="shared" si="2"/>
        <v>0</v>
      </c>
    </row>
    <row r="25" spans="1:15" ht="12">
      <c r="A25" s="513">
        <v>439</v>
      </c>
      <c r="B25" s="541" t="s">
        <v>464</v>
      </c>
      <c r="C25" s="486"/>
      <c r="D25" s="515">
        <v>0</v>
      </c>
      <c r="E25" s="516">
        <v>0</v>
      </c>
      <c r="F25" s="516">
        <v>1708</v>
      </c>
      <c r="G25" s="517">
        <f t="shared" si="4"/>
        <v>1708</v>
      </c>
      <c r="H25" s="518">
        <v>0</v>
      </c>
      <c r="I25" s="518">
        <v>0</v>
      </c>
      <c r="J25" s="518">
        <v>0</v>
      </c>
      <c r="K25" s="518">
        <v>3720</v>
      </c>
      <c r="L25" s="519">
        <f t="shared" si="3"/>
        <v>3720</v>
      </c>
      <c r="M25" s="545">
        <f t="shared" si="0"/>
        <v>0</v>
      </c>
      <c r="N25" s="521">
        <f t="shared" si="1"/>
        <v>5428</v>
      </c>
      <c r="O25" s="546">
        <f t="shared" si="2"/>
        <v>5428</v>
      </c>
    </row>
    <row r="26" spans="1:15" ht="12.75" thickBot="1">
      <c r="A26" s="522"/>
      <c r="B26" s="523" t="s">
        <v>458</v>
      </c>
      <c r="C26" s="524"/>
      <c r="D26" s="525">
        <v>0</v>
      </c>
      <c r="E26" s="526">
        <v>0</v>
      </c>
      <c r="F26" s="526">
        <v>0</v>
      </c>
      <c r="G26" s="534">
        <f>SUM(C26:F26)</f>
        <v>0</v>
      </c>
      <c r="H26" s="528">
        <v>0</v>
      </c>
      <c r="I26" s="528">
        <v>0</v>
      </c>
      <c r="J26" s="528">
        <v>0</v>
      </c>
      <c r="K26" s="528">
        <v>0</v>
      </c>
      <c r="L26" s="535">
        <f t="shared" si="3"/>
        <v>0</v>
      </c>
      <c r="M26" s="539">
        <f t="shared" si="0"/>
        <v>0</v>
      </c>
      <c r="N26" s="537">
        <f t="shared" si="1"/>
        <v>0</v>
      </c>
      <c r="O26" s="540">
        <f t="shared" si="2"/>
        <v>0</v>
      </c>
    </row>
    <row r="27" spans="1:15" ht="12">
      <c r="A27" s="513">
        <v>453</v>
      </c>
      <c r="B27" s="541" t="s">
        <v>465</v>
      </c>
      <c r="C27" s="486"/>
      <c r="D27" s="515">
        <v>60</v>
      </c>
      <c r="E27" s="516">
        <v>1</v>
      </c>
      <c r="F27" s="516">
        <v>1910</v>
      </c>
      <c r="G27" s="517">
        <f t="shared" si="4"/>
        <v>1971</v>
      </c>
      <c r="H27" s="518">
        <v>0</v>
      </c>
      <c r="I27" s="518">
        <v>2</v>
      </c>
      <c r="J27" s="518">
        <v>0</v>
      </c>
      <c r="K27" s="518">
        <v>10</v>
      </c>
      <c r="L27" s="519">
        <f t="shared" si="3"/>
        <v>12</v>
      </c>
      <c r="M27" s="520">
        <f t="shared" si="0"/>
        <v>61</v>
      </c>
      <c r="N27" s="521">
        <f t="shared" si="1"/>
        <v>1922</v>
      </c>
      <c r="O27" s="519">
        <f t="shared" si="2"/>
        <v>1983</v>
      </c>
    </row>
    <row r="28" spans="1:15" ht="12.75" thickBot="1">
      <c r="A28" s="522"/>
      <c r="B28" s="523" t="s">
        <v>458</v>
      </c>
      <c r="C28" s="524"/>
      <c r="D28" s="525">
        <v>0</v>
      </c>
      <c r="E28" s="526">
        <v>0</v>
      </c>
      <c r="F28" s="526">
        <v>0</v>
      </c>
      <c r="G28" s="534">
        <f>SUM(C28:F28)</f>
        <v>0</v>
      </c>
      <c r="H28" s="528">
        <v>0</v>
      </c>
      <c r="I28" s="528">
        <v>0</v>
      </c>
      <c r="J28" s="528">
        <v>0</v>
      </c>
      <c r="K28" s="528">
        <v>0</v>
      </c>
      <c r="L28" s="535">
        <f t="shared" si="3"/>
        <v>0</v>
      </c>
      <c r="M28" s="539">
        <f t="shared" si="0"/>
        <v>0</v>
      </c>
      <c r="N28" s="547">
        <f t="shared" si="1"/>
        <v>0</v>
      </c>
      <c r="O28" s="538">
        <f t="shared" si="2"/>
        <v>0</v>
      </c>
    </row>
    <row r="29" spans="1:15" s="476" customFormat="1" ht="12">
      <c r="A29" s="513"/>
      <c r="B29" s="548"/>
      <c r="C29" s="486"/>
      <c r="D29" s="515"/>
      <c r="E29" s="516"/>
      <c r="F29" s="516"/>
      <c r="G29" s="549"/>
      <c r="H29" s="518"/>
      <c r="I29" s="518"/>
      <c r="J29" s="518"/>
      <c r="K29" s="518"/>
      <c r="L29" s="550"/>
      <c r="M29" s="521"/>
      <c r="N29" s="521"/>
      <c r="O29" s="519"/>
    </row>
    <row r="30" spans="1:15" s="476" customFormat="1" ht="12">
      <c r="A30" s="551" t="s">
        <v>466</v>
      </c>
      <c r="B30" s="552"/>
      <c r="C30" s="553"/>
      <c r="D30" s="554">
        <v>-7766</v>
      </c>
      <c r="E30" s="555">
        <v>0</v>
      </c>
      <c r="F30" s="556">
        <v>-1057</v>
      </c>
      <c r="G30" s="557">
        <f>F30+D30</f>
        <v>-8823</v>
      </c>
      <c r="H30" s="558">
        <v>0</v>
      </c>
      <c r="I30" s="558">
        <v>0</v>
      </c>
      <c r="J30" s="558">
        <v>0</v>
      </c>
      <c r="K30" s="558">
        <v>0</v>
      </c>
      <c r="L30" s="559">
        <f t="shared" si="3"/>
        <v>0</v>
      </c>
      <c r="M30" s="560">
        <f>D30+E30+H30</f>
        <v>-7766</v>
      </c>
      <c r="N30" s="561">
        <f>F30+I30+J30+K30</f>
        <v>-1057</v>
      </c>
      <c r="O30" s="562">
        <f>M30+N30</f>
        <v>-8823</v>
      </c>
    </row>
    <row r="31" spans="1:15" s="476" customFormat="1" ht="12">
      <c r="A31" s="513"/>
      <c r="B31" s="548"/>
      <c r="C31" s="486"/>
      <c r="D31" s="563"/>
      <c r="E31" s="518"/>
      <c r="F31" s="518"/>
      <c r="G31" s="517"/>
      <c r="H31" s="518"/>
      <c r="I31" s="518"/>
      <c r="J31" s="518"/>
      <c r="K31" s="518"/>
      <c r="L31" s="550"/>
      <c r="M31" s="521"/>
      <c r="N31" s="521"/>
      <c r="O31" s="519"/>
    </row>
    <row r="32" spans="1:15" ht="12">
      <c r="A32" s="513" t="s">
        <v>467</v>
      </c>
      <c r="B32" s="548"/>
      <c r="C32" s="486"/>
      <c r="D32" s="563">
        <f aca="true" t="shared" si="5" ref="D32:O32">D11+D13+D17+D19+D21+D27+D30+D23++D25+D15</f>
        <v>74501</v>
      </c>
      <c r="E32" s="518">
        <f t="shared" si="5"/>
        <v>17339</v>
      </c>
      <c r="F32" s="518">
        <f t="shared" si="5"/>
        <v>10186</v>
      </c>
      <c r="G32" s="517">
        <f t="shared" si="5"/>
        <v>102026</v>
      </c>
      <c r="H32" s="564">
        <f t="shared" si="5"/>
        <v>373</v>
      </c>
      <c r="I32" s="565">
        <f t="shared" si="5"/>
        <v>91</v>
      </c>
      <c r="J32" s="565">
        <f t="shared" si="5"/>
        <v>731</v>
      </c>
      <c r="K32" s="565">
        <f t="shared" si="5"/>
        <v>10820</v>
      </c>
      <c r="L32" s="519">
        <f t="shared" si="5"/>
        <v>12015</v>
      </c>
      <c r="M32" s="520">
        <f t="shared" si="5"/>
        <v>92213</v>
      </c>
      <c r="N32" s="521">
        <f t="shared" si="5"/>
        <v>21828</v>
      </c>
      <c r="O32" s="519">
        <f t="shared" si="5"/>
        <v>114041</v>
      </c>
    </row>
    <row r="33" spans="1:15" ht="12">
      <c r="A33" s="566" t="s">
        <v>468</v>
      </c>
      <c r="B33" s="567"/>
      <c r="C33" s="568"/>
      <c r="D33" s="569">
        <f aca="true" t="shared" si="6" ref="D33:O33">+D12+D14+D18+D20+D22+D24+D26+D28+D16</f>
        <v>5819</v>
      </c>
      <c r="E33" s="570">
        <f t="shared" si="6"/>
        <v>1754</v>
      </c>
      <c r="F33" s="570">
        <f t="shared" si="6"/>
        <v>189</v>
      </c>
      <c r="G33" s="571">
        <f t="shared" si="6"/>
        <v>7762</v>
      </c>
      <c r="H33" s="572">
        <f t="shared" si="6"/>
        <v>13</v>
      </c>
      <c r="I33" s="570">
        <f t="shared" si="6"/>
        <v>0</v>
      </c>
      <c r="J33" s="570">
        <f t="shared" si="6"/>
        <v>0</v>
      </c>
      <c r="K33" s="570">
        <f t="shared" si="6"/>
        <v>201</v>
      </c>
      <c r="L33" s="573">
        <f t="shared" si="6"/>
        <v>214</v>
      </c>
      <c r="M33" s="574">
        <f t="shared" si="6"/>
        <v>7586</v>
      </c>
      <c r="N33" s="575">
        <f t="shared" si="6"/>
        <v>390</v>
      </c>
      <c r="O33" s="573">
        <f t="shared" si="6"/>
        <v>7976</v>
      </c>
    </row>
    <row r="34" spans="1:15" ht="12">
      <c r="A34" s="576" t="s">
        <v>427</v>
      </c>
      <c r="B34" s="577"/>
      <c r="C34" s="577"/>
      <c r="D34" s="578">
        <f>SUM(D32:D33)</f>
        <v>80320</v>
      </c>
      <c r="E34" s="579">
        <f aca="true" t="shared" si="7" ref="E34:O34">SUM(E32:E33)</f>
        <v>19093</v>
      </c>
      <c r="F34" s="579">
        <f t="shared" si="7"/>
        <v>10375</v>
      </c>
      <c r="G34" s="580">
        <f t="shared" si="7"/>
        <v>109788</v>
      </c>
      <c r="H34" s="581">
        <f t="shared" si="7"/>
        <v>386</v>
      </c>
      <c r="I34" s="582">
        <f t="shared" si="7"/>
        <v>91</v>
      </c>
      <c r="J34" s="582">
        <f t="shared" si="7"/>
        <v>731</v>
      </c>
      <c r="K34" s="582">
        <f t="shared" si="7"/>
        <v>11021</v>
      </c>
      <c r="L34" s="583">
        <f t="shared" si="3"/>
        <v>12229</v>
      </c>
      <c r="M34" s="584">
        <f t="shared" si="7"/>
        <v>99799</v>
      </c>
      <c r="N34" s="585">
        <f t="shared" si="7"/>
        <v>22218</v>
      </c>
      <c r="O34" s="583">
        <f t="shared" si="7"/>
        <v>122017</v>
      </c>
    </row>
    <row r="35" spans="1:15" ht="12">
      <c r="A35" s="513"/>
      <c r="B35" s="548"/>
      <c r="C35" s="486"/>
      <c r="D35" s="563"/>
      <c r="E35" s="518"/>
      <c r="F35" s="518"/>
      <c r="G35" s="517"/>
      <c r="H35" s="586"/>
      <c r="I35" s="518"/>
      <c r="J35" s="518"/>
      <c r="K35" s="518"/>
      <c r="L35" s="519"/>
      <c r="M35" s="520"/>
      <c r="N35" s="521"/>
      <c r="O35" s="519"/>
    </row>
    <row r="36" spans="1:15" ht="12">
      <c r="A36" s="513"/>
      <c r="B36" s="548"/>
      <c r="C36" s="486"/>
      <c r="D36" s="563"/>
      <c r="E36" s="518"/>
      <c r="F36" s="518"/>
      <c r="G36" s="517"/>
      <c r="H36" s="586"/>
      <c r="I36" s="518"/>
      <c r="J36" s="518"/>
      <c r="K36" s="518"/>
      <c r="L36" s="519"/>
      <c r="M36" s="520"/>
      <c r="N36" s="521"/>
      <c r="O36" s="519"/>
    </row>
    <row r="37" spans="1:15" ht="12">
      <c r="A37" s="513">
        <v>481</v>
      </c>
      <c r="B37" s="548" t="s">
        <v>469</v>
      </c>
      <c r="C37" s="486"/>
      <c r="D37" s="587">
        <v>4874</v>
      </c>
      <c r="E37" s="588">
        <v>2844</v>
      </c>
      <c r="F37" s="588">
        <v>503</v>
      </c>
      <c r="G37" s="517">
        <f>SUM(D37:F37)</f>
        <v>8221</v>
      </c>
      <c r="H37" s="518">
        <v>134</v>
      </c>
      <c r="I37" s="518">
        <v>2</v>
      </c>
      <c r="J37" s="518">
        <v>0</v>
      </c>
      <c r="K37" s="518">
        <v>336</v>
      </c>
      <c r="L37" s="550">
        <f t="shared" si="3"/>
        <v>472</v>
      </c>
      <c r="M37" s="521">
        <f>D37+E37+H37</f>
        <v>7852</v>
      </c>
      <c r="N37" s="521">
        <f>F37+I37+J37+K37</f>
        <v>841</v>
      </c>
      <c r="O37" s="519">
        <f>M37+N37</f>
        <v>8693</v>
      </c>
    </row>
    <row r="38" spans="1:15" ht="12">
      <c r="A38" s="513"/>
      <c r="B38" s="548"/>
      <c r="C38" s="486"/>
      <c r="D38" s="587"/>
      <c r="E38" s="588"/>
      <c r="F38" s="588"/>
      <c r="G38" s="517"/>
      <c r="H38" s="518"/>
      <c r="I38" s="518"/>
      <c r="J38" s="518"/>
      <c r="K38" s="518"/>
      <c r="L38" s="550">
        <f t="shared" si="3"/>
        <v>0</v>
      </c>
      <c r="M38" s="521"/>
      <c r="N38" s="521"/>
      <c r="O38" s="519"/>
    </row>
    <row r="39" spans="1:15" ht="12">
      <c r="A39" s="551" t="s">
        <v>470</v>
      </c>
      <c r="B39" s="552"/>
      <c r="C39" s="553"/>
      <c r="D39" s="589">
        <v>7766</v>
      </c>
      <c r="E39" s="555">
        <v>0</v>
      </c>
      <c r="F39" s="555">
        <v>1057</v>
      </c>
      <c r="G39" s="557">
        <f>F39+D39</f>
        <v>8823</v>
      </c>
      <c r="H39" s="590">
        <v>0</v>
      </c>
      <c r="I39" s="590">
        <v>0</v>
      </c>
      <c r="J39" s="590">
        <v>0</v>
      </c>
      <c r="K39" s="590">
        <v>0</v>
      </c>
      <c r="L39" s="591"/>
      <c r="M39" s="560">
        <f>D39+E39+H39</f>
        <v>7766</v>
      </c>
      <c r="N39" s="561">
        <f>F39+I39+J39+K39</f>
        <v>1057</v>
      </c>
      <c r="O39" s="562">
        <f>M39+N39</f>
        <v>8823</v>
      </c>
    </row>
    <row r="40" spans="1:15" ht="12.75" thickBot="1">
      <c r="A40" s="592" t="s">
        <v>468</v>
      </c>
      <c r="B40" s="593"/>
      <c r="C40" s="593"/>
      <c r="D40" s="619">
        <f>+D37+D39</f>
        <v>12640</v>
      </c>
      <c r="E40" s="620">
        <f aca="true" t="shared" si="8" ref="E40:O40">+E37+E39</f>
        <v>2844</v>
      </c>
      <c r="F40" s="620">
        <f t="shared" si="8"/>
        <v>1560</v>
      </c>
      <c r="G40" s="621">
        <f t="shared" si="8"/>
        <v>17044</v>
      </c>
      <c r="H40" s="622">
        <f t="shared" si="8"/>
        <v>134</v>
      </c>
      <c r="I40" s="620">
        <f t="shared" si="8"/>
        <v>2</v>
      </c>
      <c r="J40" s="620">
        <f t="shared" si="8"/>
        <v>0</v>
      </c>
      <c r="K40" s="620">
        <f t="shared" si="8"/>
        <v>336</v>
      </c>
      <c r="L40" s="621">
        <f t="shared" si="3"/>
        <v>472</v>
      </c>
      <c r="M40" s="623">
        <f t="shared" si="8"/>
        <v>15618</v>
      </c>
      <c r="N40" s="624">
        <f t="shared" si="8"/>
        <v>1898</v>
      </c>
      <c r="O40" s="621">
        <f t="shared" si="8"/>
        <v>17516</v>
      </c>
    </row>
    <row r="41" spans="1:15" ht="16.5" customHeight="1" thickBot="1" thickTop="1">
      <c r="A41" s="594" t="s">
        <v>252</v>
      </c>
      <c r="B41" s="595"/>
      <c r="C41" s="596"/>
      <c r="D41" s="597">
        <f>+D40+D34</f>
        <v>92960</v>
      </c>
      <c r="E41" s="598">
        <f aca="true" t="shared" si="9" ref="E41:O41">+E40+E34</f>
        <v>21937</v>
      </c>
      <c r="F41" s="598">
        <f t="shared" si="9"/>
        <v>11935</v>
      </c>
      <c r="G41" s="599">
        <f t="shared" si="9"/>
        <v>126832</v>
      </c>
      <c r="H41" s="598">
        <f t="shared" si="9"/>
        <v>520</v>
      </c>
      <c r="I41" s="598">
        <f t="shared" si="9"/>
        <v>93</v>
      </c>
      <c r="J41" s="598">
        <f t="shared" si="9"/>
        <v>731</v>
      </c>
      <c r="K41" s="598">
        <f t="shared" si="9"/>
        <v>11357</v>
      </c>
      <c r="L41" s="599">
        <f t="shared" si="9"/>
        <v>12701</v>
      </c>
      <c r="M41" s="597">
        <f t="shared" si="9"/>
        <v>115417</v>
      </c>
      <c r="N41" s="598">
        <f t="shared" si="9"/>
        <v>24116</v>
      </c>
      <c r="O41" s="599">
        <f t="shared" si="9"/>
        <v>139533</v>
      </c>
    </row>
    <row r="42" spans="1:15" ht="16.5" customHeight="1" thickTop="1">
      <c r="A42" s="600"/>
      <c r="B42" s="601"/>
      <c r="C42" s="600"/>
      <c r="D42" s="602"/>
      <c r="E42" s="602"/>
      <c r="F42" s="602"/>
      <c r="G42" s="602"/>
      <c r="H42" s="602"/>
      <c r="I42" s="602"/>
      <c r="J42" s="602"/>
      <c r="K42" s="602"/>
      <c r="L42" s="602"/>
      <c r="M42" s="602"/>
      <c r="N42" s="602"/>
      <c r="O42" s="602"/>
    </row>
    <row r="43" spans="1:15" ht="12.75">
      <c r="A43" s="600"/>
      <c r="B43" s="603" t="s">
        <v>553</v>
      </c>
      <c r="C43" s="604"/>
      <c r="D43" s="602"/>
      <c r="E43" s="602"/>
      <c r="F43" s="602"/>
      <c r="G43" s="602"/>
      <c r="H43" s="602"/>
      <c r="I43" s="602"/>
      <c r="J43" s="602"/>
      <c r="K43" s="602"/>
      <c r="L43" s="602"/>
      <c r="M43" s="602"/>
      <c r="N43" s="605"/>
      <c r="O43" s="605"/>
    </row>
    <row r="44" spans="2:15" ht="12">
      <c r="B44" s="309"/>
      <c r="C44" s="604"/>
      <c r="D44" s="606"/>
      <c r="E44" s="606"/>
      <c r="F44" s="606"/>
      <c r="G44" s="606"/>
      <c r="H44" s="607"/>
      <c r="I44" s="309"/>
      <c r="M44" s="605"/>
      <c r="N44" s="605"/>
      <c r="O44" s="605"/>
    </row>
    <row r="45" spans="1:15" ht="12.75">
      <c r="A45" s="608" t="s">
        <v>471</v>
      </c>
      <c r="B45" s="609"/>
      <c r="C45" s="610" t="s">
        <v>554</v>
      </c>
      <c r="D45" s="611"/>
      <c r="E45" s="611"/>
      <c r="F45" s="611"/>
      <c r="G45" s="611"/>
      <c r="H45" s="611"/>
      <c r="I45" s="611"/>
      <c r="J45" s="611"/>
      <c r="K45" s="611"/>
      <c r="L45" s="611"/>
      <c r="M45" s="612"/>
      <c r="O45" s="198"/>
    </row>
    <row r="46" spans="1:15" ht="12.75">
      <c r="A46" s="613"/>
      <c r="B46" s="609"/>
      <c r="C46" s="613" t="s">
        <v>472</v>
      </c>
      <c r="D46" s="611"/>
      <c r="E46" s="611"/>
      <c r="F46" s="611"/>
      <c r="G46" s="611"/>
      <c r="H46" s="611"/>
      <c r="I46" s="611"/>
      <c r="J46" s="611"/>
      <c r="K46" s="611"/>
      <c r="L46" s="611"/>
      <c r="M46" s="611"/>
      <c r="O46" s="198"/>
    </row>
    <row r="47" spans="1:15" ht="12.75">
      <c r="A47" s="613"/>
      <c r="B47" s="609"/>
      <c r="C47" s="613" t="s">
        <v>473</v>
      </c>
      <c r="D47" s="611"/>
      <c r="E47" s="611"/>
      <c r="F47" s="611"/>
      <c r="G47" s="611"/>
      <c r="H47" s="611"/>
      <c r="I47" s="611"/>
      <c r="J47" s="611"/>
      <c r="K47" s="611"/>
      <c r="L47" s="611"/>
      <c r="M47" s="611"/>
      <c r="O47" s="198"/>
    </row>
    <row r="48" spans="1:15" ht="12.75">
      <c r="A48" s="613"/>
      <c r="B48" s="609"/>
      <c r="C48" s="613"/>
      <c r="D48" s="611"/>
      <c r="E48" s="611"/>
      <c r="F48" s="611"/>
      <c r="G48" s="611"/>
      <c r="H48" s="611"/>
      <c r="I48" s="611"/>
      <c r="J48" s="611"/>
      <c r="K48" s="611"/>
      <c r="L48" s="611"/>
      <c r="M48" s="611"/>
      <c r="O48" s="198"/>
    </row>
    <row r="49" spans="1:15" ht="12.75">
      <c r="A49" s="613"/>
      <c r="B49" s="609"/>
      <c r="C49" s="613"/>
      <c r="D49" s="611"/>
      <c r="E49" s="611"/>
      <c r="F49" s="611"/>
      <c r="G49" s="611"/>
      <c r="H49" s="611"/>
      <c r="I49" s="611"/>
      <c r="J49" s="611"/>
      <c r="K49" s="611"/>
      <c r="L49" s="611"/>
      <c r="M49" s="611"/>
      <c r="O49" s="198"/>
    </row>
    <row r="50" spans="1:15" ht="12.75">
      <c r="A50" s="608" t="s">
        <v>340</v>
      </c>
      <c r="B50" s="614" t="s">
        <v>474</v>
      </c>
      <c r="C50" s="609" t="s">
        <v>475</v>
      </c>
      <c r="D50" s="609"/>
      <c r="E50" s="609"/>
      <c r="F50" s="609"/>
      <c r="G50" s="609"/>
      <c r="H50" s="609"/>
      <c r="I50" s="609"/>
      <c r="J50" s="609"/>
      <c r="K50" s="609"/>
      <c r="L50" s="609"/>
      <c r="M50" s="609"/>
      <c r="O50" s="96"/>
    </row>
    <row r="51" spans="1:15" ht="12.75">
      <c r="A51" s="613"/>
      <c r="B51" s="615"/>
      <c r="C51" s="609" t="s">
        <v>476</v>
      </c>
      <c r="D51" s="609"/>
      <c r="E51" s="609"/>
      <c r="F51" s="609"/>
      <c r="G51" s="609"/>
      <c r="H51" s="609"/>
      <c r="I51" s="609"/>
      <c r="J51" s="609"/>
      <c r="K51" s="609"/>
      <c r="L51" s="609"/>
      <c r="M51" s="609"/>
      <c r="O51" s="96"/>
    </row>
    <row r="52" spans="1:15" ht="12.75">
      <c r="A52" s="613"/>
      <c r="B52" s="615"/>
      <c r="C52" s="613"/>
      <c r="D52" s="611"/>
      <c r="E52" s="611"/>
      <c r="F52" s="611"/>
      <c r="G52" s="611"/>
      <c r="H52" s="611"/>
      <c r="I52" s="611"/>
      <c r="J52" s="611"/>
      <c r="K52" s="611"/>
      <c r="L52" s="611"/>
      <c r="M52" s="611"/>
      <c r="O52" s="198"/>
    </row>
    <row r="53" spans="1:15" ht="12.75">
      <c r="A53" s="613"/>
      <c r="B53" s="614" t="s">
        <v>477</v>
      </c>
      <c r="C53" s="609" t="s">
        <v>478</v>
      </c>
      <c r="D53" s="609"/>
      <c r="E53" s="609"/>
      <c r="F53" s="609"/>
      <c r="G53" s="609"/>
      <c r="H53" s="609"/>
      <c r="I53" s="609"/>
      <c r="J53" s="609"/>
      <c r="K53" s="609"/>
      <c r="L53" s="609"/>
      <c r="M53" s="609"/>
      <c r="O53" s="96"/>
    </row>
    <row r="54" spans="1:15" ht="12" customHeight="1">
      <c r="A54" s="613"/>
      <c r="B54" s="615"/>
      <c r="C54" s="609" t="s">
        <v>479</v>
      </c>
      <c r="D54" s="609"/>
      <c r="E54" s="609"/>
      <c r="F54" s="609"/>
      <c r="G54" s="609"/>
      <c r="H54" s="609"/>
      <c r="I54" s="609"/>
      <c r="J54" s="609"/>
      <c r="K54" s="609"/>
      <c r="L54" s="609"/>
      <c r="M54" s="609"/>
      <c r="O54" s="96"/>
    </row>
    <row r="55" spans="1:15" ht="12" customHeight="1">
      <c r="A55" s="613"/>
      <c r="B55" s="615"/>
      <c r="C55" s="609"/>
      <c r="D55" s="609"/>
      <c r="E55" s="609"/>
      <c r="F55" s="609"/>
      <c r="G55" s="609"/>
      <c r="H55" s="609"/>
      <c r="I55" s="609"/>
      <c r="J55" s="609"/>
      <c r="K55" s="609"/>
      <c r="L55" s="609"/>
      <c r="M55" s="609"/>
      <c r="O55" s="96"/>
    </row>
    <row r="56" spans="1:15" ht="12.75">
      <c r="A56" s="613"/>
      <c r="B56" s="614" t="s">
        <v>480</v>
      </c>
      <c r="C56" s="609" t="s">
        <v>481</v>
      </c>
      <c r="D56" s="616"/>
      <c r="E56" s="616"/>
      <c r="F56" s="616"/>
      <c r="G56" s="616"/>
      <c r="H56" s="616"/>
      <c r="I56" s="616"/>
      <c r="J56" s="616"/>
      <c r="K56" s="616"/>
      <c r="L56" s="616"/>
      <c r="M56" s="616"/>
      <c r="O56" s="198"/>
    </row>
    <row r="57" spans="1:15" ht="12" customHeight="1">
      <c r="A57" s="613"/>
      <c r="B57" s="615"/>
      <c r="C57" s="609" t="s">
        <v>482</v>
      </c>
      <c r="D57" s="609"/>
      <c r="E57" s="609"/>
      <c r="F57" s="609"/>
      <c r="G57" s="609"/>
      <c r="H57" s="609"/>
      <c r="I57" s="609"/>
      <c r="J57" s="609"/>
      <c r="K57" s="609"/>
      <c r="L57" s="609"/>
      <c r="M57" s="609"/>
      <c r="O57" s="96"/>
    </row>
    <row r="58" spans="1:15" ht="12" customHeight="1">
      <c r="A58" s="613"/>
      <c r="B58" s="615"/>
      <c r="C58" s="613"/>
      <c r="D58" s="611"/>
      <c r="E58" s="611"/>
      <c r="F58" s="611"/>
      <c r="G58" s="611"/>
      <c r="H58" s="611"/>
      <c r="I58" s="611"/>
      <c r="J58" s="611"/>
      <c r="K58" s="611"/>
      <c r="L58" s="611"/>
      <c r="M58" s="611"/>
      <c r="O58" s="198"/>
    </row>
    <row r="59" spans="1:15" ht="12" customHeight="1">
      <c r="A59" s="608" t="s">
        <v>483</v>
      </c>
      <c r="B59" s="609"/>
      <c r="O59" s="198"/>
    </row>
    <row r="60" spans="1:15" ht="12" customHeight="1">
      <c r="A60" s="613"/>
      <c r="B60" s="609"/>
      <c r="C60" s="610"/>
      <c r="D60" s="617"/>
      <c r="E60" s="611"/>
      <c r="F60" s="611"/>
      <c r="G60" s="611"/>
      <c r="H60" s="611"/>
      <c r="I60" s="611"/>
      <c r="J60" s="611"/>
      <c r="K60" s="611"/>
      <c r="L60" s="611"/>
      <c r="M60" s="611"/>
      <c r="O60" s="198"/>
    </row>
    <row r="61" spans="1:13" ht="12.75">
      <c r="A61" s="613"/>
      <c r="B61" s="609"/>
      <c r="C61" s="610" t="s">
        <v>484</v>
      </c>
      <c r="D61" s="611"/>
      <c r="E61" s="611"/>
      <c r="F61" s="611"/>
      <c r="G61" s="611"/>
      <c r="H61" s="611"/>
      <c r="I61" s="611"/>
      <c r="J61" s="611"/>
      <c r="K61" s="611"/>
      <c r="L61" s="611"/>
      <c r="M61" s="611"/>
    </row>
    <row r="62" spans="1:13" ht="12.75">
      <c r="A62" s="613"/>
      <c r="B62" s="609"/>
      <c r="C62" s="618" t="s">
        <v>485</v>
      </c>
      <c r="D62" s="611"/>
      <c r="E62" s="611"/>
      <c r="F62" s="611"/>
      <c r="G62" s="611"/>
      <c r="H62" s="611"/>
      <c r="I62" s="611"/>
      <c r="J62" s="611"/>
      <c r="K62" s="611"/>
      <c r="L62" s="611"/>
      <c r="M62" s="611"/>
    </row>
    <row r="63" spans="1:15" ht="12.75">
      <c r="A63" s="613"/>
      <c r="B63" s="609"/>
      <c r="C63" s="618" t="s">
        <v>486</v>
      </c>
      <c r="D63" s="611"/>
      <c r="E63" s="611"/>
      <c r="F63" s="611"/>
      <c r="G63" s="611"/>
      <c r="H63" s="611"/>
      <c r="I63" s="611"/>
      <c r="J63" s="611"/>
      <c r="K63" s="611"/>
      <c r="L63" s="611"/>
      <c r="M63" s="611"/>
      <c r="O63" s="198"/>
    </row>
    <row r="64" spans="1:15" ht="12.75">
      <c r="A64" s="613"/>
      <c r="B64" s="609"/>
      <c r="C64" s="373" t="s">
        <v>555</v>
      </c>
      <c r="D64"/>
      <c r="E64"/>
      <c r="F64"/>
      <c r="G64"/>
      <c r="H64"/>
      <c r="I64"/>
      <c r="J64"/>
      <c r="K64"/>
      <c r="L64"/>
      <c r="M64"/>
      <c r="O64" s="198"/>
    </row>
    <row r="65" spans="1:15" ht="12.75">
      <c r="A65" s="613"/>
      <c r="B65" s="609"/>
      <c r="C65"/>
      <c r="D65"/>
      <c r="E65"/>
      <c r="F65"/>
      <c r="G65"/>
      <c r="H65"/>
      <c r="I65"/>
      <c r="J65"/>
      <c r="K65"/>
      <c r="L65"/>
      <c r="M65"/>
      <c r="N65"/>
      <c r="O65" s="198"/>
    </row>
  </sheetData>
  <sheetProtection/>
  <mergeCells count="5">
    <mergeCell ref="A1:O1"/>
    <mergeCell ref="A2:O2"/>
    <mergeCell ref="A3:O3"/>
    <mergeCell ref="D5:G5"/>
    <mergeCell ref="H5:L5"/>
  </mergeCells>
  <printOptions horizontalCentered="1"/>
  <pageMargins left="0" right="0" top="0.75" bottom="0.75" header="0" footer="0.25"/>
  <pageSetup horizontalDpi="600" verticalDpi="600" orientation="portrait" scale="75" r:id="rId1"/>
  <headerFooter>
    <oddFooter>&amp;C&amp;12- 12 -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6.421875" style="0" customWidth="1"/>
    <col min="2" max="2" width="6.00390625" style="0" customWidth="1"/>
    <col min="3" max="3" width="43.28125" style="0" customWidth="1"/>
    <col min="4" max="4" width="6.140625" style="0" customWidth="1"/>
    <col min="5" max="5" width="7.140625" style="0" customWidth="1"/>
    <col min="6" max="6" width="6.28125" style="0" customWidth="1"/>
    <col min="7" max="7" width="6.421875" style="0" customWidth="1"/>
    <col min="8" max="8" width="6.00390625" style="0" customWidth="1"/>
    <col min="9" max="9" width="7.57421875" style="0" customWidth="1"/>
    <col min="10" max="10" width="6.8515625" style="0" customWidth="1"/>
    <col min="11" max="11" width="6.28125" style="0" customWidth="1"/>
    <col min="12" max="12" width="6.421875" style="0" customWidth="1"/>
    <col min="13" max="13" width="5.8515625" style="0" customWidth="1"/>
    <col min="14" max="14" width="7.28125" style="0" customWidth="1"/>
    <col min="15" max="15" width="8.28125" style="0" customWidth="1"/>
  </cols>
  <sheetData>
    <row r="1" spans="1:15" ht="26.25">
      <c r="A1" s="892" t="s">
        <v>82</v>
      </c>
      <c r="B1" s="892"/>
      <c r="C1" s="892"/>
      <c r="D1" s="892"/>
      <c r="E1" s="892"/>
      <c r="F1" s="892"/>
      <c r="G1" s="892"/>
      <c r="H1" s="892"/>
      <c r="I1" s="892"/>
      <c r="J1" s="892"/>
      <c r="K1" s="892"/>
      <c r="L1" s="892"/>
      <c r="M1" s="892"/>
      <c r="N1" s="892"/>
      <c r="O1" s="892"/>
    </row>
    <row r="2" spans="1:15" ht="23.25">
      <c r="A2" s="893" t="s">
        <v>487</v>
      </c>
      <c r="B2" s="893"/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</row>
    <row r="3" spans="1:15" ht="15">
      <c r="A3" s="885" t="s">
        <v>552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</row>
    <row r="4" spans="1:15" ht="12.75">
      <c r="A4" s="799"/>
      <c r="B4" s="373"/>
      <c r="D4" s="376"/>
      <c r="E4" s="376"/>
      <c r="F4" s="376"/>
      <c r="G4" s="376"/>
      <c r="H4" s="376"/>
      <c r="I4" s="376"/>
      <c r="J4" s="376"/>
      <c r="K4" s="376"/>
      <c r="L4" s="376"/>
      <c r="M4" s="362"/>
      <c r="N4" s="362"/>
      <c r="O4" s="362"/>
    </row>
    <row r="5" spans="1:15" ht="12.75">
      <c r="A5" s="625"/>
      <c r="B5" s="510"/>
      <c r="C5" s="626"/>
      <c r="D5" s="627"/>
      <c r="E5" s="628"/>
      <c r="F5" s="628"/>
      <c r="G5" s="628"/>
      <c r="H5" s="894"/>
      <c r="I5" s="895"/>
      <c r="J5" s="895"/>
      <c r="K5" s="895"/>
      <c r="L5" s="896"/>
      <c r="M5" s="629"/>
      <c r="N5" s="630"/>
      <c r="O5" s="483"/>
    </row>
    <row r="6" spans="1:15" ht="12.75">
      <c r="A6" s="513"/>
      <c r="B6" s="631"/>
      <c r="C6" s="486"/>
      <c r="D6" s="897" t="s">
        <v>488</v>
      </c>
      <c r="E6" s="898"/>
      <c r="F6" s="898"/>
      <c r="G6" s="898"/>
      <c r="H6" s="899" t="s">
        <v>489</v>
      </c>
      <c r="I6" s="900"/>
      <c r="J6" s="900"/>
      <c r="K6" s="900"/>
      <c r="L6" s="901"/>
      <c r="M6" s="632"/>
      <c r="N6" s="633"/>
      <c r="O6" s="489"/>
    </row>
    <row r="7" spans="1:15" ht="6" customHeight="1">
      <c r="A7" s="513"/>
      <c r="B7" s="631"/>
      <c r="C7" s="486"/>
      <c r="D7" s="487"/>
      <c r="E7" s="423"/>
      <c r="F7" s="423"/>
      <c r="G7" s="423"/>
      <c r="H7" s="487"/>
      <c r="I7" s="423"/>
      <c r="J7" s="423"/>
      <c r="K7" s="423"/>
      <c r="L7" s="634"/>
      <c r="M7" s="632"/>
      <c r="N7" s="633"/>
      <c r="O7" s="489"/>
    </row>
    <row r="8" spans="1:15" ht="12.75">
      <c r="A8" s="484"/>
      <c r="B8" s="485"/>
      <c r="C8" s="635"/>
      <c r="D8" s="636"/>
      <c r="E8" s="637"/>
      <c r="F8" s="423"/>
      <c r="G8" s="637"/>
      <c r="H8" s="487" t="s">
        <v>445</v>
      </c>
      <c r="I8" s="638"/>
      <c r="J8" s="423" t="s">
        <v>446</v>
      </c>
      <c r="K8" s="638" t="s">
        <v>447</v>
      </c>
      <c r="L8" s="639"/>
      <c r="M8" s="487"/>
      <c r="N8" s="423" t="s">
        <v>338</v>
      </c>
      <c r="O8" s="634" t="s">
        <v>448</v>
      </c>
    </row>
    <row r="9" spans="1:15" ht="12.75">
      <c r="A9" s="484"/>
      <c r="B9" s="485"/>
      <c r="C9" s="635"/>
      <c r="D9" s="636"/>
      <c r="E9" s="637" t="s">
        <v>490</v>
      </c>
      <c r="F9" s="640" t="s">
        <v>450</v>
      </c>
      <c r="G9" s="637"/>
      <c r="H9" s="641" t="s">
        <v>451</v>
      </c>
      <c r="I9" s="642" t="s">
        <v>452</v>
      </c>
      <c r="J9" s="643" t="s">
        <v>450</v>
      </c>
      <c r="K9" s="642" t="s">
        <v>450</v>
      </c>
      <c r="L9" s="639"/>
      <c r="M9" s="487" t="s">
        <v>338</v>
      </c>
      <c r="N9" s="643" t="s">
        <v>450</v>
      </c>
      <c r="O9" s="634" t="s">
        <v>338</v>
      </c>
    </row>
    <row r="10" spans="1:15" ht="12.75">
      <c r="A10" s="644" t="s">
        <v>491</v>
      </c>
      <c r="B10" s="645" t="s">
        <v>492</v>
      </c>
      <c r="C10" s="646"/>
      <c r="D10" s="647" t="s">
        <v>453</v>
      </c>
      <c r="E10" s="648" t="s">
        <v>453</v>
      </c>
      <c r="F10" s="648" t="s">
        <v>453</v>
      </c>
      <c r="G10" s="648" t="s">
        <v>454</v>
      </c>
      <c r="H10" s="649" t="s">
        <v>453</v>
      </c>
      <c r="I10" s="650" t="s">
        <v>455</v>
      </c>
      <c r="J10" s="651" t="s">
        <v>453</v>
      </c>
      <c r="K10" s="650" t="s">
        <v>453</v>
      </c>
      <c r="L10" s="652" t="s">
        <v>454</v>
      </c>
      <c r="M10" s="649" t="s">
        <v>453</v>
      </c>
      <c r="N10" s="651" t="s">
        <v>453</v>
      </c>
      <c r="O10" s="653" t="s">
        <v>456</v>
      </c>
    </row>
    <row r="11" spans="1:15" ht="12.75">
      <c r="A11" s="513"/>
      <c r="B11" s="488"/>
      <c r="C11" s="486"/>
      <c r="D11" s="654"/>
      <c r="E11" s="655"/>
      <c r="F11" s="655"/>
      <c r="G11" s="656"/>
      <c r="H11" s="657"/>
      <c r="I11" s="658"/>
      <c r="J11" s="658"/>
      <c r="K11" s="658"/>
      <c r="L11" s="656"/>
      <c r="M11" s="657"/>
      <c r="N11" s="659"/>
      <c r="O11" s="660"/>
    </row>
    <row r="12" spans="1:15" ht="12.75">
      <c r="A12" s="513">
        <v>453</v>
      </c>
      <c r="B12" s="488">
        <v>34</v>
      </c>
      <c r="C12" s="486" t="s">
        <v>493</v>
      </c>
      <c r="D12" s="654">
        <v>1</v>
      </c>
      <c r="E12" s="655">
        <v>0</v>
      </c>
      <c r="F12" s="655">
        <v>2</v>
      </c>
      <c r="G12" s="656">
        <f aca="true" t="shared" si="0" ref="G12:G45">SUM(D12:F12)</f>
        <v>3</v>
      </c>
      <c r="H12" s="657">
        <v>0</v>
      </c>
      <c r="I12" s="658">
        <v>0</v>
      </c>
      <c r="J12" s="658">
        <v>0</v>
      </c>
      <c r="K12" s="658">
        <v>0</v>
      </c>
      <c r="L12" s="656">
        <f aca="true" t="shared" si="1" ref="L12:L45">SUM(H12:K12)</f>
        <v>0</v>
      </c>
      <c r="M12" s="657">
        <f aca="true" t="shared" si="2" ref="M12:M45">E12+D12+H12</f>
        <v>1</v>
      </c>
      <c r="N12" s="659">
        <f aca="true" t="shared" si="3" ref="N12:N45">K12+J12+I12+F12</f>
        <v>2</v>
      </c>
      <c r="O12" s="660">
        <f aca="true" t="shared" si="4" ref="O12:O45">M12+N12</f>
        <v>3</v>
      </c>
    </row>
    <row r="13" spans="1:15" ht="12.75">
      <c r="A13" s="513"/>
      <c r="B13" s="488">
        <v>35</v>
      </c>
      <c r="C13" s="661" t="s">
        <v>494</v>
      </c>
      <c r="D13" s="654">
        <v>0</v>
      </c>
      <c r="E13" s="655">
        <v>0</v>
      </c>
      <c r="F13" s="655">
        <v>27</v>
      </c>
      <c r="G13" s="656">
        <f t="shared" si="0"/>
        <v>27</v>
      </c>
      <c r="H13" s="657">
        <v>0</v>
      </c>
      <c r="I13" s="658">
        <v>0</v>
      </c>
      <c r="J13" s="658">
        <v>0</v>
      </c>
      <c r="K13" s="658">
        <v>1</v>
      </c>
      <c r="L13" s="656">
        <f t="shared" si="1"/>
        <v>1</v>
      </c>
      <c r="M13" s="657">
        <f t="shared" si="2"/>
        <v>0</v>
      </c>
      <c r="N13" s="659">
        <f t="shared" si="3"/>
        <v>28</v>
      </c>
      <c r="O13" s="660">
        <f t="shared" si="4"/>
        <v>28</v>
      </c>
    </row>
    <row r="14" spans="1:15" ht="12.75">
      <c r="A14" s="513"/>
      <c r="B14" s="488">
        <v>36</v>
      </c>
      <c r="C14" s="661" t="s">
        <v>495</v>
      </c>
      <c r="D14" s="654">
        <v>0</v>
      </c>
      <c r="E14" s="655">
        <v>0</v>
      </c>
      <c r="F14" s="655">
        <v>11</v>
      </c>
      <c r="G14" s="656">
        <f t="shared" si="0"/>
        <v>11</v>
      </c>
      <c r="H14" s="657">
        <v>0</v>
      </c>
      <c r="I14" s="658">
        <v>0</v>
      </c>
      <c r="J14" s="658">
        <v>0</v>
      </c>
      <c r="K14" s="658">
        <v>1</v>
      </c>
      <c r="L14" s="656">
        <f t="shared" si="1"/>
        <v>1</v>
      </c>
      <c r="M14" s="657">
        <f t="shared" si="2"/>
        <v>0</v>
      </c>
      <c r="N14" s="659">
        <f t="shared" si="3"/>
        <v>12</v>
      </c>
      <c r="O14" s="660">
        <f t="shared" si="4"/>
        <v>12</v>
      </c>
    </row>
    <row r="15" spans="1:15" ht="12.75">
      <c r="A15" s="513"/>
      <c r="B15" s="488" t="s">
        <v>496</v>
      </c>
      <c r="C15" s="661" t="s">
        <v>497</v>
      </c>
      <c r="D15" s="654">
        <v>0</v>
      </c>
      <c r="E15" s="655">
        <v>0</v>
      </c>
      <c r="F15" s="655">
        <v>18</v>
      </c>
      <c r="G15" s="656">
        <f t="shared" si="0"/>
        <v>18</v>
      </c>
      <c r="H15" s="657">
        <v>0</v>
      </c>
      <c r="I15" s="658">
        <v>0</v>
      </c>
      <c r="J15" s="658">
        <v>0</v>
      </c>
      <c r="K15" s="658">
        <v>0</v>
      </c>
      <c r="L15" s="656">
        <f t="shared" si="1"/>
        <v>0</v>
      </c>
      <c r="M15" s="657">
        <f t="shared" si="2"/>
        <v>0</v>
      </c>
      <c r="N15" s="659">
        <f t="shared" si="3"/>
        <v>18</v>
      </c>
      <c r="O15" s="660">
        <f t="shared" si="4"/>
        <v>18</v>
      </c>
    </row>
    <row r="16" spans="1:15" ht="12.75">
      <c r="A16" s="513"/>
      <c r="B16" s="488">
        <v>39</v>
      </c>
      <c r="C16" s="661" t="s">
        <v>498</v>
      </c>
      <c r="D16" s="654">
        <v>0</v>
      </c>
      <c r="E16" s="655">
        <v>0</v>
      </c>
      <c r="F16" s="655">
        <v>14</v>
      </c>
      <c r="G16" s="656">
        <f t="shared" si="0"/>
        <v>14</v>
      </c>
      <c r="H16" s="657">
        <v>0</v>
      </c>
      <c r="I16" s="658">
        <v>0</v>
      </c>
      <c r="J16" s="658">
        <v>0</v>
      </c>
      <c r="K16" s="658">
        <v>0</v>
      </c>
      <c r="L16" s="656">
        <f t="shared" si="1"/>
        <v>0</v>
      </c>
      <c r="M16" s="657">
        <f t="shared" si="2"/>
        <v>0</v>
      </c>
      <c r="N16" s="659">
        <f t="shared" si="3"/>
        <v>14</v>
      </c>
      <c r="O16" s="660">
        <f t="shared" si="4"/>
        <v>14</v>
      </c>
    </row>
    <row r="17" spans="1:15" ht="12.75">
      <c r="A17" s="513"/>
      <c r="B17" s="488">
        <v>40</v>
      </c>
      <c r="C17" s="661" t="s">
        <v>499</v>
      </c>
      <c r="D17" s="654">
        <v>13</v>
      </c>
      <c r="E17" s="655">
        <v>0</v>
      </c>
      <c r="F17" s="655">
        <v>82</v>
      </c>
      <c r="G17" s="656">
        <f t="shared" si="0"/>
        <v>95</v>
      </c>
      <c r="H17" s="657">
        <v>0</v>
      </c>
      <c r="I17" s="658">
        <v>0</v>
      </c>
      <c r="J17" s="658">
        <v>0</v>
      </c>
      <c r="K17" s="658">
        <v>1</v>
      </c>
      <c r="L17" s="656">
        <f t="shared" si="1"/>
        <v>1</v>
      </c>
      <c r="M17" s="657">
        <f t="shared" si="2"/>
        <v>13</v>
      </c>
      <c r="N17" s="659">
        <f t="shared" si="3"/>
        <v>83</v>
      </c>
      <c r="O17" s="660">
        <f t="shared" si="4"/>
        <v>96</v>
      </c>
    </row>
    <row r="18" spans="1:15" ht="12.75">
      <c r="A18" s="513"/>
      <c r="B18" s="488">
        <v>41</v>
      </c>
      <c r="C18" s="662" t="s">
        <v>500</v>
      </c>
      <c r="D18" s="654">
        <v>0</v>
      </c>
      <c r="E18" s="655">
        <v>0</v>
      </c>
      <c r="F18" s="655">
        <v>24</v>
      </c>
      <c r="G18" s="656">
        <f t="shared" si="0"/>
        <v>24</v>
      </c>
      <c r="H18" s="657">
        <v>0</v>
      </c>
      <c r="I18" s="658">
        <v>0</v>
      </c>
      <c r="J18" s="658">
        <v>0</v>
      </c>
      <c r="K18" s="658">
        <v>0</v>
      </c>
      <c r="L18" s="656">
        <f t="shared" si="1"/>
        <v>0</v>
      </c>
      <c r="M18" s="657">
        <f t="shared" si="2"/>
        <v>0</v>
      </c>
      <c r="N18" s="659">
        <f t="shared" si="3"/>
        <v>24</v>
      </c>
      <c r="O18" s="660">
        <f t="shared" si="4"/>
        <v>24</v>
      </c>
    </row>
    <row r="19" spans="1:15" ht="12.75">
      <c r="A19" s="513"/>
      <c r="B19" s="488">
        <v>42</v>
      </c>
      <c r="C19" s="661" t="s">
        <v>501</v>
      </c>
      <c r="D19" s="654">
        <v>1</v>
      </c>
      <c r="E19" s="655">
        <v>0</v>
      </c>
      <c r="F19" s="655">
        <v>4</v>
      </c>
      <c r="G19" s="656">
        <f t="shared" si="0"/>
        <v>5</v>
      </c>
      <c r="H19" s="657">
        <v>0</v>
      </c>
      <c r="I19" s="658">
        <v>0</v>
      </c>
      <c r="J19" s="658">
        <v>0</v>
      </c>
      <c r="K19" s="658">
        <v>0</v>
      </c>
      <c r="L19" s="656">
        <f t="shared" si="1"/>
        <v>0</v>
      </c>
      <c r="M19" s="657">
        <f t="shared" si="2"/>
        <v>1</v>
      </c>
      <c r="N19" s="659">
        <f t="shared" si="3"/>
        <v>4</v>
      </c>
      <c r="O19" s="660">
        <f t="shared" si="4"/>
        <v>5</v>
      </c>
    </row>
    <row r="20" spans="1:15" ht="12.75">
      <c r="A20" s="513"/>
      <c r="B20" s="488">
        <v>46</v>
      </c>
      <c r="C20" s="486" t="s">
        <v>502</v>
      </c>
      <c r="D20" s="654">
        <v>0</v>
      </c>
      <c r="E20" s="655">
        <v>0</v>
      </c>
      <c r="F20" s="655">
        <v>303</v>
      </c>
      <c r="G20" s="656">
        <f t="shared" si="0"/>
        <v>303</v>
      </c>
      <c r="H20" s="657">
        <v>0</v>
      </c>
      <c r="I20" s="658">
        <v>0</v>
      </c>
      <c r="J20" s="658">
        <v>0</v>
      </c>
      <c r="K20" s="658">
        <v>2</v>
      </c>
      <c r="L20" s="656">
        <f t="shared" si="1"/>
        <v>2</v>
      </c>
      <c r="M20" s="657">
        <f t="shared" si="2"/>
        <v>0</v>
      </c>
      <c r="N20" s="659">
        <f t="shared" si="3"/>
        <v>305</v>
      </c>
      <c r="O20" s="660">
        <f t="shared" si="4"/>
        <v>305</v>
      </c>
    </row>
    <row r="21" spans="1:15" ht="12.75">
      <c r="A21" s="513"/>
      <c r="B21" s="488">
        <v>47</v>
      </c>
      <c r="C21" s="486" t="s">
        <v>503</v>
      </c>
      <c r="D21" s="654">
        <v>0</v>
      </c>
      <c r="E21" s="655">
        <v>0</v>
      </c>
      <c r="F21" s="655">
        <v>16</v>
      </c>
      <c r="G21" s="656">
        <f t="shared" si="0"/>
        <v>16</v>
      </c>
      <c r="H21" s="657">
        <v>0</v>
      </c>
      <c r="I21" s="658">
        <v>0</v>
      </c>
      <c r="J21" s="658">
        <v>0</v>
      </c>
      <c r="K21" s="658">
        <v>0</v>
      </c>
      <c r="L21" s="656">
        <f t="shared" si="1"/>
        <v>0</v>
      </c>
      <c r="M21" s="657">
        <f t="shared" si="2"/>
        <v>0</v>
      </c>
      <c r="N21" s="659">
        <f t="shared" si="3"/>
        <v>16</v>
      </c>
      <c r="O21" s="660">
        <f t="shared" si="4"/>
        <v>16</v>
      </c>
    </row>
    <row r="22" spans="1:15" ht="12.75">
      <c r="A22" s="513"/>
      <c r="B22" s="488" t="s">
        <v>504</v>
      </c>
      <c r="C22" s="662" t="s">
        <v>505</v>
      </c>
      <c r="D22" s="654">
        <v>4</v>
      </c>
      <c r="E22" s="655">
        <v>0</v>
      </c>
      <c r="F22" s="655">
        <v>18</v>
      </c>
      <c r="G22" s="656">
        <f t="shared" si="0"/>
        <v>22</v>
      </c>
      <c r="H22" s="657">
        <v>0</v>
      </c>
      <c r="I22" s="658">
        <v>0</v>
      </c>
      <c r="J22" s="658">
        <v>0</v>
      </c>
      <c r="K22" s="658">
        <v>2</v>
      </c>
      <c r="L22" s="656">
        <f t="shared" si="1"/>
        <v>2</v>
      </c>
      <c r="M22" s="657">
        <f t="shared" si="2"/>
        <v>4</v>
      </c>
      <c r="N22" s="659">
        <f t="shared" si="3"/>
        <v>20</v>
      </c>
      <c r="O22" s="660">
        <f t="shared" si="4"/>
        <v>24</v>
      </c>
    </row>
    <row r="23" spans="1:15" ht="12.75">
      <c r="A23" s="513"/>
      <c r="B23" s="488">
        <v>49</v>
      </c>
      <c r="C23" s="486" t="s">
        <v>506</v>
      </c>
      <c r="D23" s="654">
        <v>0</v>
      </c>
      <c r="E23" s="655">
        <v>0</v>
      </c>
      <c r="F23" s="655">
        <v>284</v>
      </c>
      <c r="G23" s="656">
        <f t="shared" si="0"/>
        <v>284</v>
      </c>
      <c r="H23" s="657">
        <v>0</v>
      </c>
      <c r="I23" s="658">
        <v>0</v>
      </c>
      <c r="J23" s="658">
        <v>0</v>
      </c>
      <c r="K23" s="658">
        <v>0</v>
      </c>
      <c r="L23" s="656">
        <f t="shared" si="1"/>
        <v>0</v>
      </c>
      <c r="M23" s="657">
        <f t="shared" si="2"/>
        <v>0</v>
      </c>
      <c r="N23" s="659">
        <f t="shared" si="3"/>
        <v>284</v>
      </c>
      <c r="O23" s="660">
        <f t="shared" si="4"/>
        <v>284</v>
      </c>
    </row>
    <row r="24" spans="1:15" ht="12.75">
      <c r="A24" s="513"/>
      <c r="B24" s="488">
        <v>50</v>
      </c>
      <c r="C24" s="486" t="s">
        <v>507</v>
      </c>
      <c r="D24" s="654">
        <v>10</v>
      </c>
      <c r="E24" s="655">
        <v>1</v>
      </c>
      <c r="F24" s="655">
        <v>51</v>
      </c>
      <c r="G24" s="656">
        <f t="shared" si="0"/>
        <v>62</v>
      </c>
      <c r="H24" s="657">
        <v>0</v>
      </c>
      <c r="I24" s="658">
        <v>0</v>
      </c>
      <c r="J24" s="658">
        <v>0</v>
      </c>
      <c r="K24" s="658">
        <v>0</v>
      </c>
      <c r="L24" s="656">
        <f t="shared" si="1"/>
        <v>0</v>
      </c>
      <c r="M24" s="657">
        <f t="shared" si="2"/>
        <v>11</v>
      </c>
      <c r="N24" s="659">
        <f t="shared" si="3"/>
        <v>51</v>
      </c>
      <c r="O24" s="660">
        <f t="shared" si="4"/>
        <v>62</v>
      </c>
    </row>
    <row r="25" spans="1:15" ht="12.75">
      <c r="A25" s="513"/>
      <c r="B25" s="488">
        <v>51</v>
      </c>
      <c r="C25" s="486" t="s">
        <v>508</v>
      </c>
      <c r="D25" s="654">
        <v>0</v>
      </c>
      <c r="E25" s="655">
        <v>0</v>
      </c>
      <c r="F25" s="655">
        <v>142</v>
      </c>
      <c r="G25" s="656">
        <f t="shared" si="0"/>
        <v>142</v>
      </c>
      <c r="H25" s="657">
        <v>0</v>
      </c>
      <c r="I25" s="658">
        <v>0</v>
      </c>
      <c r="J25" s="658">
        <v>0</v>
      </c>
      <c r="K25" s="658">
        <v>0</v>
      </c>
      <c r="L25" s="656">
        <f t="shared" si="1"/>
        <v>0</v>
      </c>
      <c r="M25" s="657">
        <f t="shared" si="2"/>
        <v>0</v>
      </c>
      <c r="N25" s="659">
        <f t="shared" si="3"/>
        <v>142</v>
      </c>
      <c r="O25" s="660">
        <f t="shared" si="4"/>
        <v>142</v>
      </c>
    </row>
    <row r="26" spans="1:15" ht="12.75" customHeight="1">
      <c r="A26" s="513"/>
      <c r="B26" s="488">
        <v>52</v>
      </c>
      <c r="C26" s="486" t="s">
        <v>509</v>
      </c>
      <c r="D26" s="654">
        <v>0</v>
      </c>
      <c r="E26" s="655">
        <v>0</v>
      </c>
      <c r="F26" s="655">
        <v>47</v>
      </c>
      <c r="G26" s="656">
        <f t="shared" si="0"/>
        <v>47</v>
      </c>
      <c r="H26" s="657">
        <v>0</v>
      </c>
      <c r="I26" s="658">
        <v>0</v>
      </c>
      <c r="J26" s="658">
        <v>0</v>
      </c>
      <c r="K26" s="658">
        <v>0</v>
      </c>
      <c r="L26" s="656">
        <f t="shared" si="1"/>
        <v>0</v>
      </c>
      <c r="M26" s="657">
        <f t="shared" si="2"/>
        <v>0</v>
      </c>
      <c r="N26" s="659">
        <f t="shared" si="3"/>
        <v>47</v>
      </c>
      <c r="O26" s="660">
        <f t="shared" si="4"/>
        <v>47</v>
      </c>
    </row>
    <row r="27" spans="1:15" ht="12.75">
      <c r="A27" s="513"/>
      <c r="B27" s="488">
        <v>53</v>
      </c>
      <c r="C27" s="486" t="s">
        <v>510</v>
      </c>
      <c r="D27" s="654">
        <v>0</v>
      </c>
      <c r="E27" s="655">
        <v>0</v>
      </c>
      <c r="F27" s="655">
        <v>6</v>
      </c>
      <c r="G27" s="656">
        <f t="shared" si="0"/>
        <v>6</v>
      </c>
      <c r="H27" s="657">
        <v>0</v>
      </c>
      <c r="I27" s="658">
        <v>0</v>
      </c>
      <c r="J27" s="658">
        <v>0</v>
      </c>
      <c r="K27" s="658">
        <v>0</v>
      </c>
      <c r="L27" s="656">
        <f t="shared" si="1"/>
        <v>0</v>
      </c>
      <c r="M27" s="657">
        <f t="shared" si="2"/>
        <v>0</v>
      </c>
      <c r="N27" s="659">
        <f t="shared" si="3"/>
        <v>6</v>
      </c>
      <c r="O27" s="660">
        <f t="shared" si="4"/>
        <v>6</v>
      </c>
    </row>
    <row r="28" spans="1:15" ht="12.75">
      <c r="A28" s="513"/>
      <c r="B28" s="488">
        <v>54</v>
      </c>
      <c r="C28" s="486" t="s">
        <v>511</v>
      </c>
      <c r="D28" s="654">
        <v>0</v>
      </c>
      <c r="E28" s="655">
        <v>0</v>
      </c>
      <c r="F28" s="655">
        <v>236</v>
      </c>
      <c r="G28" s="656">
        <f t="shared" si="0"/>
        <v>236</v>
      </c>
      <c r="H28" s="657">
        <v>0</v>
      </c>
      <c r="I28" s="658">
        <v>0</v>
      </c>
      <c r="J28" s="658">
        <v>0</v>
      </c>
      <c r="K28" s="658">
        <v>0</v>
      </c>
      <c r="L28" s="656">
        <f t="shared" si="1"/>
        <v>0</v>
      </c>
      <c r="M28" s="657">
        <f t="shared" si="2"/>
        <v>0</v>
      </c>
      <c r="N28" s="659">
        <f t="shared" si="3"/>
        <v>236</v>
      </c>
      <c r="O28" s="660">
        <f t="shared" si="4"/>
        <v>236</v>
      </c>
    </row>
    <row r="29" spans="1:15" ht="12.75">
      <c r="A29" s="513"/>
      <c r="B29" s="488" t="s">
        <v>512</v>
      </c>
      <c r="C29" s="486" t="s">
        <v>513</v>
      </c>
      <c r="D29" s="654">
        <v>0</v>
      </c>
      <c r="E29" s="655">
        <v>0</v>
      </c>
      <c r="F29" s="655">
        <v>17</v>
      </c>
      <c r="G29" s="656">
        <f t="shared" si="0"/>
        <v>17</v>
      </c>
      <c r="H29" s="657">
        <v>0</v>
      </c>
      <c r="I29" s="658">
        <v>0</v>
      </c>
      <c r="J29" s="658">
        <v>0</v>
      </c>
      <c r="K29" s="658">
        <v>0</v>
      </c>
      <c r="L29" s="656">
        <f t="shared" si="1"/>
        <v>0</v>
      </c>
      <c r="M29" s="657">
        <f t="shared" si="2"/>
        <v>0</v>
      </c>
      <c r="N29" s="659">
        <f t="shared" si="3"/>
        <v>17</v>
      </c>
      <c r="O29" s="660">
        <f t="shared" si="4"/>
        <v>17</v>
      </c>
    </row>
    <row r="30" spans="1:15" ht="12.75">
      <c r="A30" s="513"/>
      <c r="B30" s="663">
        <v>58</v>
      </c>
      <c r="C30" s="486" t="s">
        <v>514</v>
      </c>
      <c r="D30" s="654">
        <v>0</v>
      </c>
      <c r="E30" s="655">
        <v>0</v>
      </c>
      <c r="F30" s="655">
        <v>27</v>
      </c>
      <c r="G30" s="656">
        <f t="shared" si="0"/>
        <v>27</v>
      </c>
      <c r="H30" s="657">
        <v>0</v>
      </c>
      <c r="I30" s="658">
        <v>0</v>
      </c>
      <c r="J30" s="658">
        <v>0</v>
      </c>
      <c r="K30" s="658">
        <v>0</v>
      </c>
      <c r="L30" s="656">
        <f t="shared" si="1"/>
        <v>0</v>
      </c>
      <c r="M30" s="657">
        <f t="shared" si="2"/>
        <v>0</v>
      </c>
      <c r="N30" s="659">
        <f t="shared" si="3"/>
        <v>27</v>
      </c>
      <c r="O30" s="660">
        <f t="shared" si="4"/>
        <v>27</v>
      </c>
    </row>
    <row r="31" spans="1:15" ht="12.75">
      <c r="A31" s="513"/>
      <c r="B31" s="663" t="s">
        <v>515</v>
      </c>
      <c r="C31" s="486" t="s">
        <v>516</v>
      </c>
      <c r="D31" s="654">
        <v>0</v>
      </c>
      <c r="E31" s="655">
        <v>0</v>
      </c>
      <c r="F31" s="655">
        <v>11</v>
      </c>
      <c r="G31" s="656">
        <f t="shared" si="0"/>
        <v>11</v>
      </c>
      <c r="H31" s="657">
        <v>0</v>
      </c>
      <c r="I31" s="658">
        <v>0</v>
      </c>
      <c r="J31" s="658">
        <v>0</v>
      </c>
      <c r="K31" s="658">
        <v>0</v>
      </c>
      <c r="L31" s="656">
        <f t="shared" si="1"/>
        <v>0</v>
      </c>
      <c r="M31" s="657">
        <f t="shared" si="2"/>
        <v>0</v>
      </c>
      <c r="N31" s="659">
        <f t="shared" si="3"/>
        <v>11</v>
      </c>
      <c r="O31" s="660">
        <f t="shared" si="4"/>
        <v>11</v>
      </c>
    </row>
    <row r="32" spans="1:15" ht="12.75">
      <c r="A32" s="513"/>
      <c r="B32" s="488">
        <v>60</v>
      </c>
      <c r="C32" s="661" t="s">
        <v>517</v>
      </c>
      <c r="D32" s="664">
        <v>7</v>
      </c>
      <c r="E32" s="665">
        <v>0</v>
      </c>
      <c r="F32" s="665">
        <v>18</v>
      </c>
      <c r="G32" s="656">
        <f t="shared" si="0"/>
        <v>25</v>
      </c>
      <c r="H32" s="657">
        <v>0</v>
      </c>
      <c r="I32" s="658">
        <v>0</v>
      </c>
      <c r="J32" s="658">
        <v>0</v>
      </c>
      <c r="K32" s="658">
        <v>0</v>
      </c>
      <c r="L32" s="656">
        <f t="shared" si="1"/>
        <v>0</v>
      </c>
      <c r="M32" s="657">
        <f t="shared" si="2"/>
        <v>7</v>
      </c>
      <c r="N32" s="659">
        <f t="shared" si="3"/>
        <v>18</v>
      </c>
      <c r="O32" s="660">
        <f t="shared" si="4"/>
        <v>25</v>
      </c>
    </row>
    <row r="33" spans="1:15" ht="12.75">
      <c r="A33" s="513"/>
      <c r="B33" s="488">
        <v>61</v>
      </c>
      <c r="C33" s="548" t="s">
        <v>518</v>
      </c>
      <c r="D33" s="654">
        <v>0</v>
      </c>
      <c r="E33" s="655">
        <v>0</v>
      </c>
      <c r="F33" s="655">
        <v>68</v>
      </c>
      <c r="G33" s="656">
        <f t="shared" si="0"/>
        <v>68</v>
      </c>
      <c r="H33" s="657">
        <v>0</v>
      </c>
      <c r="I33" s="658">
        <v>0</v>
      </c>
      <c r="J33" s="658">
        <v>0</v>
      </c>
      <c r="K33" s="658">
        <v>1</v>
      </c>
      <c r="L33" s="656">
        <f t="shared" si="1"/>
        <v>1</v>
      </c>
      <c r="M33" s="657">
        <f t="shared" si="2"/>
        <v>0</v>
      </c>
      <c r="N33" s="659">
        <f t="shared" si="3"/>
        <v>69</v>
      </c>
      <c r="O33" s="660">
        <f t="shared" si="4"/>
        <v>69</v>
      </c>
    </row>
    <row r="34" spans="1:15" ht="12.75">
      <c r="A34" s="513"/>
      <c r="B34" s="488">
        <v>63</v>
      </c>
      <c r="C34" s="486" t="s">
        <v>519</v>
      </c>
      <c r="D34" s="654">
        <v>0</v>
      </c>
      <c r="E34" s="655">
        <v>0</v>
      </c>
      <c r="F34" s="655">
        <v>44</v>
      </c>
      <c r="G34" s="656">
        <f t="shared" si="0"/>
        <v>44</v>
      </c>
      <c r="H34" s="657">
        <v>0</v>
      </c>
      <c r="I34" s="658">
        <v>0</v>
      </c>
      <c r="J34" s="658">
        <v>0</v>
      </c>
      <c r="K34" s="658">
        <v>0</v>
      </c>
      <c r="L34" s="656">
        <f t="shared" si="1"/>
        <v>0</v>
      </c>
      <c r="M34" s="657">
        <f t="shared" si="2"/>
        <v>0</v>
      </c>
      <c r="N34" s="659">
        <f t="shared" si="3"/>
        <v>44</v>
      </c>
      <c r="O34" s="660">
        <f t="shared" si="4"/>
        <v>44</v>
      </c>
    </row>
    <row r="35" spans="1:15" ht="12.75">
      <c r="A35" s="513"/>
      <c r="B35" s="488">
        <v>64</v>
      </c>
      <c r="C35" s="661" t="s">
        <v>520</v>
      </c>
      <c r="D35" s="654">
        <v>0</v>
      </c>
      <c r="E35" s="655">
        <v>0</v>
      </c>
      <c r="F35" s="655">
        <v>2</v>
      </c>
      <c r="G35" s="656">
        <f t="shared" si="0"/>
        <v>2</v>
      </c>
      <c r="H35" s="657">
        <v>0</v>
      </c>
      <c r="I35" s="658">
        <v>0</v>
      </c>
      <c r="J35" s="658">
        <v>0</v>
      </c>
      <c r="K35" s="658">
        <v>0</v>
      </c>
      <c r="L35" s="656">
        <f t="shared" si="1"/>
        <v>0</v>
      </c>
      <c r="M35" s="657">
        <f t="shared" si="2"/>
        <v>0</v>
      </c>
      <c r="N35" s="659">
        <f t="shared" si="3"/>
        <v>2</v>
      </c>
      <c r="O35" s="660">
        <f t="shared" si="4"/>
        <v>2</v>
      </c>
    </row>
    <row r="36" spans="1:15" ht="12.75">
      <c r="A36" s="513"/>
      <c r="B36" s="488">
        <v>65</v>
      </c>
      <c r="C36" s="486" t="s">
        <v>521</v>
      </c>
      <c r="D36" s="654">
        <v>0</v>
      </c>
      <c r="E36" s="655">
        <v>0</v>
      </c>
      <c r="F36" s="655">
        <v>145</v>
      </c>
      <c r="G36" s="656">
        <f t="shared" si="0"/>
        <v>145</v>
      </c>
      <c r="H36" s="657">
        <v>0</v>
      </c>
      <c r="I36" s="658">
        <v>1</v>
      </c>
      <c r="J36" s="658">
        <v>0</v>
      </c>
      <c r="K36" s="658">
        <v>1</v>
      </c>
      <c r="L36" s="656">
        <f t="shared" si="1"/>
        <v>2</v>
      </c>
      <c r="M36" s="657">
        <f t="shared" si="2"/>
        <v>0</v>
      </c>
      <c r="N36" s="659">
        <f t="shared" si="3"/>
        <v>147</v>
      </c>
      <c r="O36" s="660">
        <f t="shared" si="4"/>
        <v>147</v>
      </c>
    </row>
    <row r="37" spans="1:15" ht="12.75">
      <c r="A37" s="513"/>
      <c r="B37" s="488">
        <v>67</v>
      </c>
      <c r="C37" s="486" t="s">
        <v>522</v>
      </c>
      <c r="D37" s="654">
        <v>1</v>
      </c>
      <c r="E37" s="655">
        <v>0</v>
      </c>
      <c r="F37" s="655">
        <v>19</v>
      </c>
      <c r="G37" s="656">
        <f t="shared" si="0"/>
        <v>20</v>
      </c>
      <c r="H37" s="657">
        <v>0</v>
      </c>
      <c r="I37" s="658">
        <v>0</v>
      </c>
      <c r="J37" s="658">
        <v>0</v>
      </c>
      <c r="K37" s="658">
        <v>0</v>
      </c>
      <c r="L37" s="656">
        <f t="shared" si="1"/>
        <v>0</v>
      </c>
      <c r="M37" s="657">
        <f t="shared" si="2"/>
        <v>1</v>
      </c>
      <c r="N37" s="659">
        <f t="shared" si="3"/>
        <v>19</v>
      </c>
      <c r="O37" s="660">
        <f t="shared" si="4"/>
        <v>20</v>
      </c>
    </row>
    <row r="38" spans="1:15" ht="12.75">
      <c r="A38" s="513"/>
      <c r="B38" s="488">
        <v>68</v>
      </c>
      <c r="C38" s="486" t="s">
        <v>523</v>
      </c>
      <c r="D38" s="654">
        <v>0</v>
      </c>
      <c r="E38" s="655">
        <v>0</v>
      </c>
      <c r="F38" s="655">
        <v>12</v>
      </c>
      <c r="G38" s="656">
        <f t="shared" si="0"/>
        <v>12</v>
      </c>
      <c r="H38" s="657">
        <v>0</v>
      </c>
      <c r="I38" s="658">
        <v>0</v>
      </c>
      <c r="J38" s="658">
        <v>0</v>
      </c>
      <c r="K38" s="658">
        <v>0</v>
      </c>
      <c r="L38" s="656">
        <f t="shared" si="1"/>
        <v>0</v>
      </c>
      <c r="M38" s="657">
        <f t="shared" si="2"/>
        <v>0</v>
      </c>
      <c r="N38" s="659">
        <f t="shared" si="3"/>
        <v>12</v>
      </c>
      <c r="O38" s="660">
        <f t="shared" si="4"/>
        <v>12</v>
      </c>
    </row>
    <row r="39" spans="1:15" ht="12.75">
      <c r="A39" s="513"/>
      <c r="B39" s="488">
        <v>78</v>
      </c>
      <c r="C39" s="661" t="s">
        <v>524</v>
      </c>
      <c r="D39" s="654">
        <v>0</v>
      </c>
      <c r="E39" s="655">
        <v>0</v>
      </c>
      <c r="F39" s="655">
        <v>77</v>
      </c>
      <c r="G39" s="656">
        <f t="shared" si="0"/>
        <v>77</v>
      </c>
      <c r="H39" s="657">
        <v>0</v>
      </c>
      <c r="I39" s="658">
        <v>1</v>
      </c>
      <c r="J39" s="658">
        <v>0</v>
      </c>
      <c r="K39" s="658">
        <v>0</v>
      </c>
      <c r="L39" s="656">
        <f t="shared" si="1"/>
        <v>1</v>
      </c>
      <c r="M39" s="657">
        <f t="shared" si="2"/>
        <v>0</v>
      </c>
      <c r="N39" s="659">
        <f t="shared" si="3"/>
        <v>78</v>
      </c>
      <c r="O39" s="660">
        <f t="shared" si="4"/>
        <v>78</v>
      </c>
    </row>
    <row r="40" spans="1:15" ht="12.75">
      <c r="A40" s="513"/>
      <c r="B40" s="488">
        <v>82</v>
      </c>
      <c r="C40" s="486" t="s">
        <v>525</v>
      </c>
      <c r="D40" s="654">
        <v>0</v>
      </c>
      <c r="E40" s="655">
        <v>0</v>
      </c>
      <c r="F40" s="655">
        <v>3</v>
      </c>
      <c r="G40" s="656">
        <f t="shared" si="0"/>
        <v>3</v>
      </c>
      <c r="H40" s="657">
        <v>0</v>
      </c>
      <c r="I40" s="658">
        <v>0</v>
      </c>
      <c r="J40" s="658">
        <v>0</v>
      </c>
      <c r="K40" s="658">
        <v>0</v>
      </c>
      <c r="L40" s="656">
        <f t="shared" si="1"/>
        <v>0</v>
      </c>
      <c r="M40" s="657">
        <f t="shared" si="2"/>
        <v>0</v>
      </c>
      <c r="N40" s="659">
        <f t="shared" si="3"/>
        <v>3</v>
      </c>
      <c r="O40" s="660">
        <f t="shared" si="4"/>
        <v>3</v>
      </c>
    </row>
    <row r="41" spans="1:15" ht="12.75">
      <c r="A41" s="513"/>
      <c r="B41" s="488">
        <v>83</v>
      </c>
      <c r="C41" s="662" t="s">
        <v>526</v>
      </c>
      <c r="D41" s="654">
        <v>5</v>
      </c>
      <c r="E41" s="655">
        <v>0</v>
      </c>
      <c r="F41" s="655">
        <v>7</v>
      </c>
      <c r="G41" s="656">
        <f t="shared" si="0"/>
        <v>12</v>
      </c>
      <c r="H41" s="657">
        <v>0</v>
      </c>
      <c r="I41" s="658">
        <v>0</v>
      </c>
      <c r="J41" s="658">
        <v>0</v>
      </c>
      <c r="K41" s="658">
        <v>0</v>
      </c>
      <c r="L41" s="656">
        <f t="shared" si="1"/>
        <v>0</v>
      </c>
      <c r="M41" s="657">
        <f t="shared" si="2"/>
        <v>5</v>
      </c>
      <c r="N41" s="659">
        <f t="shared" si="3"/>
        <v>7</v>
      </c>
      <c r="O41" s="660">
        <f t="shared" si="4"/>
        <v>12</v>
      </c>
    </row>
    <row r="42" spans="1:15" ht="12.75">
      <c r="A42" s="513"/>
      <c r="B42" s="488">
        <v>86</v>
      </c>
      <c r="C42" s="661" t="s">
        <v>527</v>
      </c>
      <c r="D42" s="654">
        <v>0</v>
      </c>
      <c r="E42" s="655">
        <v>0</v>
      </c>
      <c r="F42" s="655">
        <v>17</v>
      </c>
      <c r="G42" s="656">
        <f t="shared" si="0"/>
        <v>17</v>
      </c>
      <c r="H42" s="657">
        <v>0</v>
      </c>
      <c r="I42" s="658">
        <v>0</v>
      </c>
      <c r="J42" s="658">
        <v>0</v>
      </c>
      <c r="K42" s="658">
        <v>0</v>
      </c>
      <c r="L42" s="656">
        <f t="shared" si="1"/>
        <v>0</v>
      </c>
      <c r="M42" s="657">
        <f t="shared" si="2"/>
        <v>0</v>
      </c>
      <c r="N42" s="659">
        <f t="shared" si="3"/>
        <v>17</v>
      </c>
      <c r="O42" s="660">
        <f t="shared" si="4"/>
        <v>17</v>
      </c>
    </row>
    <row r="43" spans="1:15" ht="12.75">
      <c r="A43" s="513"/>
      <c r="B43" s="488" t="s">
        <v>528</v>
      </c>
      <c r="C43" s="661" t="s">
        <v>529</v>
      </c>
      <c r="D43" s="654">
        <v>19</v>
      </c>
      <c r="E43" s="655">
        <v>0</v>
      </c>
      <c r="F43" s="655">
        <v>58</v>
      </c>
      <c r="G43" s="656">
        <f t="shared" si="0"/>
        <v>77</v>
      </c>
      <c r="H43" s="657">
        <v>0</v>
      </c>
      <c r="I43" s="658">
        <v>0</v>
      </c>
      <c r="J43" s="658">
        <v>0</v>
      </c>
      <c r="K43" s="658">
        <v>0</v>
      </c>
      <c r="L43" s="656">
        <f t="shared" si="1"/>
        <v>0</v>
      </c>
      <c r="M43" s="657">
        <f t="shared" si="2"/>
        <v>19</v>
      </c>
      <c r="N43" s="659">
        <f t="shared" si="3"/>
        <v>58</v>
      </c>
      <c r="O43" s="660">
        <f t="shared" si="4"/>
        <v>77</v>
      </c>
    </row>
    <row r="44" spans="1:15" ht="12.75">
      <c r="A44" s="513"/>
      <c r="B44" s="488" t="s">
        <v>530</v>
      </c>
      <c r="C44" s="486" t="s">
        <v>531</v>
      </c>
      <c r="D44" s="654">
        <v>0</v>
      </c>
      <c r="E44" s="655">
        <v>0</v>
      </c>
      <c r="F44" s="655">
        <v>86</v>
      </c>
      <c r="G44" s="656">
        <f t="shared" si="0"/>
        <v>86</v>
      </c>
      <c r="H44" s="657">
        <v>0</v>
      </c>
      <c r="I44" s="658">
        <v>0</v>
      </c>
      <c r="J44" s="658">
        <v>0</v>
      </c>
      <c r="K44" s="658">
        <v>1</v>
      </c>
      <c r="L44" s="656">
        <f t="shared" si="1"/>
        <v>1</v>
      </c>
      <c r="M44" s="657">
        <f t="shared" si="2"/>
        <v>0</v>
      </c>
      <c r="N44" s="659">
        <f t="shared" si="3"/>
        <v>87</v>
      </c>
      <c r="O44" s="660">
        <f t="shared" si="4"/>
        <v>87</v>
      </c>
    </row>
    <row r="45" spans="1:15" ht="12.75">
      <c r="A45" s="513"/>
      <c r="B45" s="488" t="s">
        <v>532</v>
      </c>
      <c r="C45" s="661" t="s">
        <v>533</v>
      </c>
      <c r="D45" s="654">
        <v>0</v>
      </c>
      <c r="E45" s="655">
        <v>0</v>
      </c>
      <c r="F45" s="655">
        <v>13</v>
      </c>
      <c r="G45" s="656">
        <f t="shared" si="0"/>
        <v>13</v>
      </c>
      <c r="H45" s="657">
        <v>0</v>
      </c>
      <c r="I45" s="658">
        <v>0</v>
      </c>
      <c r="J45" s="658">
        <v>0</v>
      </c>
      <c r="K45" s="658">
        <v>0</v>
      </c>
      <c r="L45" s="656">
        <f t="shared" si="1"/>
        <v>0</v>
      </c>
      <c r="M45" s="657">
        <f t="shared" si="2"/>
        <v>0</v>
      </c>
      <c r="N45" s="659">
        <f t="shared" si="3"/>
        <v>13</v>
      </c>
      <c r="O45" s="660">
        <f t="shared" si="4"/>
        <v>13</v>
      </c>
    </row>
    <row r="46" spans="1:15" ht="13.5" thickBot="1">
      <c r="A46" s="666"/>
      <c r="B46" s="667"/>
      <c r="C46" s="667" t="s">
        <v>338</v>
      </c>
      <c r="D46" s="668">
        <f aca="true" t="shared" si="5" ref="D46:O46">SUM(D11:D45)</f>
        <v>61</v>
      </c>
      <c r="E46" s="669">
        <f t="shared" si="5"/>
        <v>1</v>
      </c>
      <c r="F46" s="669">
        <f t="shared" si="5"/>
        <v>1909</v>
      </c>
      <c r="G46" s="670">
        <f t="shared" si="5"/>
        <v>1971</v>
      </c>
      <c r="H46" s="669">
        <f t="shared" si="5"/>
        <v>0</v>
      </c>
      <c r="I46" s="669">
        <f t="shared" si="5"/>
        <v>2</v>
      </c>
      <c r="J46" s="669">
        <f t="shared" si="5"/>
        <v>0</v>
      </c>
      <c r="K46" s="669">
        <f t="shared" si="5"/>
        <v>10</v>
      </c>
      <c r="L46" s="670">
        <f>SUM(L11:L45)</f>
        <v>12</v>
      </c>
      <c r="M46" s="671">
        <f t="shared" si="5"/>
        <v>62</v>
      </c>
      <c r="N46" s="672">
        <f t="shared" si="5"/>
        <v>1921</v>
      </c>
      <c r="O46" s="673">
        <f t="shared" si="5"/>
        <v>1983</v>
      </c>
    </row>
    <row r="47" spans="1:15" s="362" customFormat="1" ht="20.25" customHeight="1" thickTop="1">
      <c r="A47" s="674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ht="12.75">
      <c r="A48" s="224"/>
    </row>
    <row r="49" ht="12.75">
      <c r="A49" s="224"/>
    </row>
    <row r="50" spans="1:10" ht="12.75">
      <c r="A50" s="675" t="s">
        <v>471</v>
      </c>
      <c r="B50" s="609"/>
      <c r="C50" s="610" t="s">
        <v>554</v>
      </c>
      <c r="D50" s="611"/>
      <c r="E50" s="611"/>
      <c r="F50" s="611"/>
      <c r="G50" s="611"/>
      <c r="H50" s="611"/>
      <c r="I50" s="611"/>
      <c r="J50" s="611"/>
    </row>
    <row r="51" spans="1:10" ht="12.75">
      <c r="A51" s="676"/>
      <c r="B51" s="609"/>
      <c r="C51" s="613" t="s">
        <v>472</v>
      </c>
      <c r="D51" s="611"/>
      <c r="E51" s="611"/>
      <c r="F51" s="611"/>
      <c r="G51" s="611"/>
      <c r="H51" s="611"/>
      <c r="I51" s="611"/>
      <c r="J51" s="611"/>
    </row>
    <row r="52" spans="1:10" ht="12.75">
      <c r="A52" s="676"/>
      <c r="B52" s="609"/>
      <c r="C52" s="613" t="s">
        <v>473</v>
      </c>
      <c r="D52" s="611"/>
      <c r="E52" s="611"/>
      <c r="F52" s="611"/>
      <c r="G52" s="611"/>
      <c r="H52" s="611"/>
      <c r="I52" s="611"/>
      <c r="J52" s="611"/>
    </row>
    <row r="53" spans="1:10" ht="12.75">
      <c r="A53" s="676"/>
      <c r="B53" s="609"/>
      <c r="C53" s="613"/>
      <c r="D53" s="611"/>
      <c r="E53" s="611"/>
      <c r="F53" s="611"/>
      <c r="G53" s="611"/>
      <c r="H53" s="611"/>
      <c r="I53" s="611"/>
      <c r="J53" s="611"/>
    </row>
    <row r="54" spans="1:10" ht="12.75">
      <c r="A54" s="676"/>
      <c r="B54" s="609"/>
      <c r="C54" s="613"/>
      <c r="D54" s="611"/>
      <c r="E54" s="611"/>
      <c r="F54" s="611"/>
      <c r="G54" s="611"/>
      <c r="H54" s="611"/>
      <c r="I54" s="611"/>
      <c r="J54" s="611"/>
    </row>
    <row r="55" spans="1:10" ht="12.75">
      <c r="A55" s="675" t="s">
        <v>340</v>
      </c>
      <c r="B55" s="614" t="s">
        <v>474</v>
      </c>
      <c r="C55" s="613" t="s">
        <v>475</v>
      </c>
      <c r="D55" s="611"/>
      <c r="E55" s="611"/>
      <c r="F55" s="611"/>
      <c r="G55" s="611"/>
      <c r="H55" s="611"/>
      <c r="I55" s="611"/>
      <c r="J55" s="611"/>
    </row>
    <row r="56" spans="3:10" ht="12.75">
      <c r="C56" s="609" t="s">
        <v>476</v>
      </c>
      <c r="D56" s="609"/>
      <c r="E56" s="609"/>
      <c r="F56" s="609"/>
      <c r="G56" s="609"/>
      <c r="H56" s="609"/>
      <c r="I56" s="609"/>
      <c r="J56" s="609"/>
    </row>
    <row r="57" spans="1:10" ht="12.75">
      <c r="A57" s="676"/>
      <c r="B57" s="615"/>
      <c r="C57" s="609"/>
      <c r="D57" s="609"/>
      <c r="E57" s="609"/>
      <c r="F57" s="609"/>
      <c r="G57" s="609"/>
      <c r="H57" s="609"/>
      <c r="I57" s="609"/>
      <c r="J57" s="609"/>
    </row>
    <row r="58" spans="1:10" ht="12.75">
      <c r="A58" s="676"/>
      <c r="B58" s="614" t="s">
        <v>477</v>
      </c>
      <c r="C58" s="613" t="s">
        <v>478</v>
      </c>
      <c r="D58" s="611"/>
      <c r="E58" s="611"/>
      <c r="F58" s="611"/>
      <c r="G58" s="611"/>
      <c r="H58" s="611"/>
      <c r="I58" s="611"/>
      <c r="J58" s="611"/>
    </row>
    <row r="59" spans="1:10" ht="12.75">
      <c r="A59" s="676"/>
      <c r="B59" s="615"/>
      <c r="C59" s="609" t="s">
        <v>479</v>
      </c>
      <c r="D59" s="609"/>
      <c r="E59" s="609"/>
      <c r="F59" s="609"/>
      <c r="G59" s="609"/>
      <c r="H59" s="609"/>
      <c r="I59" s="609"/>
      <c r="J59" s="609"/>
    </row>
    <row r="60" spans="1:10" ht="12.75">
      <c r="A60" s="676"/>
      <c r="B60" s="615"/>
      <c r="C60" s="609"/>
      <c r="D60" s="609"/>
      <c r="E60" s="609"/>
      <c r="F60" s="609"/>
      <c r="G60" s="609"/>
      <c r="H60" s="609"/>
      <c r="I60" s="609"/>
      <c r="J60" s="609"/>
    </row>
    <row r="61" spans="1:10" ht="12.75">
      <c r="A61" s="676"/>
      <c r="B61" s="614" t="s">
        <v>480</v>
      </c>
      <c r="C61" s="609" t="s">
        <v>481</v>
      </c>
      <c r="D61" s="609"/>
      <c r="E61" s="609"/>
      <c r="F61" s="609"/>
      <c r="G61" s="609"/>
      <c r="H61" s="609"/>
      <c r="I61" s="609"/>
      <c r="J61" s="609"/>
    </row>
    <row r="62" spans="1:10" ht="12.75">
      <c r="A62" s="676"/>
      <c r="C62" s="609" t="s">
        <v>482</v>
      </c>
      <c r="D62" s="616"/>
      <c r="E62" s="616"/>
      <c r="F62" s="616"/>
      <c r="G62" s="616"/>
      <c r="H62" s="616"/>
      <c r="I62" s="616"/>
      <c r="J62" s="616"/>
    </row>
    <row r="63" spans="1:10" ht="12.75">
      <c r="A63" s="676"/>
      <c r="B63" s="615"/>
      <c r="C63" s="609"/>
      <c r="D63" s="609"/>
      <c r="E63" s="609"/>
      <c r="F63" s="609"/>
      <c r="G63" s="609"/>
      <c r="H63" s="609"/>
      <c r="I63" s="609"/>
      <c r="J63" s="609"/>
    </row>
    <row r="64" spans="1:10" ht="12.75">
      <c r="A64" s="675" t="s">
        <v>483</v>
      </c>
      <c r="B64" s="609"/>
      <c r="C64" s="477"/>
      <c r="D64" s="96"/>
      <c r="E64" s="96"/>
      <c r="F64" s="96"/>
      <c r="G64" s="476"/>
      <c r="H64" s="96"/>
      <c r="I64" s="96"/>
      <c r="J64" s="96"/>
    </row>
    <row r="65" spans="1:10" ht="12.75">
      <c r="A65" s="675"/>
      <c r="B65" s="609"/>
      <c r="C65" s="477"/>
      <c r="D65" s="96"/>
      <c r="E65" s="96"/>
      <c r="F65" s="96"/>
      <c r="G65" s="476"/>
      <c r="H65" s="96"/>
      <c r="I65" s="96"/>
      <c r="J65" s="96"/>
    </row>
    <row r="66" spans="1:10" ht="12.75">
      <c r="A66" s="675"/>
      <c r="B66" s="609"/>
      <c r="C66" s="477" t="s">
        <v>484</v>
      </c>
      <c r="D66" s="96"/>
      <c r="E66" s="96"/>
      <c r="F66" s="96"/>
      <c r="G66" s="476"/>
      <c r="H66" s="96"/>
      <c r="I66" s="96"/>
      <c r="J66" s="96"/>
    </row>
    <row r="67" spans="1:10" ht="12.75">
      <c r="A67" s="486"/>
      <c r="B67" s="609"/>
      <c r="C67" s="610" t="s">
        <v>485</v>
      </c>
      <c r="D67" s="617"/>
      <c r="E67" s="611"/>
      <c r="F67" s="611"/>
      <c r="G67" s="611"/>
      <c r="H67" s="611"/>
      <c r="I67" s="611"/>
      <c r="J67" s="611"/>
    </row>
    <row r="68" spans="1:10" ht="12.75">
      <c r="A68" s="486"/>
      <c r="B68" s="609"/>
      <c r="C68" s="610" t="s">
        <v>486</v>
      </c>
      <c r="D68" s="611"/>
      <c r="E68" s="611"/>
      <c r="F68" s="611"/>
      <c r="G68" s="611"/>
      <c r="H68" s="611"/>
      <c r="I68" s="611"/>
      <c r="J68" s="611"/>
    </row>
    <row r="69" spans="1:10" ht="12.75">
      <c r="A69" s="486"/>
      <c r="B69" s="609"/>
      <c r="C69" s="618" t="s">
        <v>555</v>
      </c>
      <c r="D69" s="611"/>
      <c r="E69" s="611"/>
      <c r="F69" s="611"/>
      <c r="G69" s="611"/>
      <c r="H69" s="611"/>
      <c r="I69" s="611"/>
      <c r="J69" s="611"/>
    </row>
  </sheetData>
  <sheetProtection/>
  <mergeCells count="6">
    <mergeCell ref="A1:O1"/>
    <mergeCell ref="A2:O2"/>
    <mergeCell ref="A3:O3"/>
    <mergeCell ref="H5:L5"/>
    <mergeCell ref="D6:G6"/>
    <mergeCell ref="H6:L6"/>
  </mergeCells>
  <printOptions horizontalCentered="1"/>
  <pageMargins left="0" right="0" top="0.75" bottom="0.75" header="0" footer="0.25"/>
  <pageSetup horizontalDpi="600" verticalDpi="600" orientation="portrait" scale="74" r:id="rId1"/>
  <headerFooter>
    <oddFooter>&amp;C&amp;12- 13 -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6.7109375" style="0" customWidth="1"/>
    <col min="2" max="2" width="3.140625" style="0" customWidth="1"/>
    <col min="3" max="3" width="38.7109375" style="0" customWidth="1"/>
    <col min="4" max="4" width="8.8515625" style="0" customWidth="1"/>
    <col min="5" max="5" width="6.7109375" style="0" customWidth="1"/>
    <col min="6" max="6" width="7.7109375" style="0" customWidth="1"/>
    <col min="7" max="7" width="9.8515625" style="0" customWidth="1"/>
    <col min="8" max="8" width="5.8515625" style="0" customWidth="1"/>
    <col min="9" max="9" width="6.00390625" style="0" customWidth="1"/>
    <col min="10" max="10" width="6.421875" style="0" customWidth="1"/>
    <col min="11" max="11" width="5.28125" style="0" customWidth="1"/>
    <col min="12" max="12" width="5.140625" style="0" customWidth="1"/>
    <col min="13" max="13" width="7.28125" style="0" customWidth="1"/>
    <col min="14" max="14" width="6.28125" style="0" customWidth="1"/>
    <col min="15" max="15" width="8.57421875" style="0" customWidth="1"/>
  </cols>
  <sheetData>
    <row r="1" spans="1:15" ht="26.25">
      <c r="A1" s="902" t="s">
        <v>82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</row>
    <row r="2" spans="1:15" ht="23.25">
      <c r="A2" s="903" t="s">
        <v>534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</row>
    <row r="3" spans="1:15" ht="15">
      <c r="A3" s="885" t="s">
        <v>552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</row>
    <row r="5" spans="1:15" ht="12.75">
      <c r="A5" s="677"/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8"/>
      <c r="O5" s="679"/>
    </row>
    <row r="6" spans="1:15" ht="12.75">
      <c r="A6" s="680"/>
      <c r="B6" s="680"/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1"/>
      <c r="O6" s="682"/>
    </row>
    <row r="7" spans="1:15" ht="12.75">
      <c r="A7" s="683"/>
      <c r="B7" s="684"/>
      <c r="C7" s="684"/>
      <c r="D7" s="904" t="s">
        <v>442</v>
      </c>
      <c r="E7" s="905"/>
      <c r="F7" s="905"/>
      <c r="G7" s="906"/>
      <c r="H7" s="907" t="s">
        <v>535</v>
      </c>
      <c r="I7" s="908"/>
      <c r="J7" s="908"/>
      <c r="K7" s="908"/>
      <c r="L7" s="909"/>
      <c r="M7" s="910" t="s">
        <v>252</v>
      </c>
      <c r="N7" s="911"/>
      <c r="O7" s="912"/>
    </row>
    <row r="8" spans="1:15" ht="12.75">
      <c r="A8" s="685"/>
      <c r="B8" s="686"/>
      <c r="C8" s="686"/>
      <c r="D8" s="487"/>
      <c r="E8" s="423"/>
      <c r="F8" s="423"/>
      <c r="G8" s="634"/>
      <c r="H8" s="487"/>
      <c r="I8" s="423"/>
      <c r="J8" s="423"/>
      <c r="K8" s="423"/>
      <c r="L8" s="634"/>
      <c r="M8" s="490"/>
      <c r="N8" s="488"/>
      <c r="O8" s="489"/>
    </row>
    <row r="9" spans="1:15" ht="12.75">
      <c r="A9" s="687"/>
      <c r="B9" s="688"/>
      <c r="C9" s="689"/>
      <c r="D9" s="690"/>
      <c r="E9" s="691"/>
      <c r="F9" s="691"/>
      <c r="G9" s="692" t="s">
        <v>536</v>
      </c>
      <c r="H9" s="487" t="s">
        <v>445</v>
      </c>
      <c r="I9" s="693"/>
      <c r="J9" s="423" t="s">
        <v>446</v>
      </c>
      <c r="K9" s="691" t="s">
        <v>447</v>
      </c>
      <c r="L9" s="692"/>
      <c r="M9" s="690"/>
      <c r="N9" s="691" t="s">
        <v>338</v>
      </c>
      <c r="O9" s="692" t="s">
        <v>448</v>
      </c>
    </row>
    <row r="10" spans="1:15" ht="12.75">
      <c r="A10" s="687" t="s">
        <v>5</v>
      </c>
      <c r="B10" s="688"/>
      <c r="C10" s="689"/>
      <c r="D10" s="690" t="s">
        <v>539</v>
      </c>
      <c r="E10" s="691" t="s">
        <v>540</v>
      </c>
      <c r="F10" s="691" t="s">
        <v>541</v>
      </c>
      <c r="G10" s="692" t="s">
        <v>542</v>
      </c>
      <c r="H10" s="641" t="s">
        <v>451</v>
      </c>
      <c r="I10" s="643" t="s">
        <v>452</v>
      </c>
      <c r="J10" s="643" t="s">
        <v>450</v>
      </c>
      <c r="K10" s="643" t="s">
        <v>450</v>
      </c>
      <c r="L10" s="692"/>
      <c r="M10" s="690" t="s">
        <v>338</v>
      </c>
      <c r="N10" s="691" t="s">
        <v>450</v>
      </c>
      <c r="O10" s="692" t="s">
        <v>338</v>
      </c>
    </row>
    <row r="11" spans="1:15" ht="12.75">
      <c r="A11" s="728" t="s">
        <v>537</v>
      </c>
      <c r="B11" s="729"/>
      <c r="C11" s="730" t="s">
        <v>538</v>
      </c>
      <c r="D11" s="694" t="s">
        <v>182</v>
      </c>
      <c r="E11" s="695" t="s">
        <v>543</v>
      </c>
      <c r="F11" s="695" t="s">
        <v>182</v>
      </c>
      <c r="G11" s="696" t="s">
        <v>182</v>
      </c>
      <c r="H11" s="697" t="s">
        <v>453</v>
      </c>
      <c r="I11" s="651" t="s">
        <v>455</v>
      </c>
      <c r="J11" s="651" t="s">
        <v>453</v>
      </c>
      <c r="K11" s="651" t="s">
        <v>453</v>
      </c>
      <c r="L11" s="696" t="s">
        <v>338</v>
      </c>
      <c r="M11" s="698" t="s">
        <v>453</v>
      </c>
      <c r="N11" s="699" t="s">
        <v>453</v>
      </c>
      <c r="O11" s="700" t="s">
        <v>456</v>
      </c>
    </row>
    <row r="12" spans="1:15" ht="12.75">
      <c r="A12" s="701" t="s">
        <v>544</v>
      </c>
      <c r="B12" s="702"/>
      <c r="C12" s="703" t="s">
        <v>545</v>
      </c>
      <c r="D12" s="704">
        <v>0</v>
      </c>
      <c r="E12" s="704">
        <v>0</v>
      </c>
      <c r="F12" s="704">
        <v>4</v>
      </c>
      <c r="G12" s="705">
        <f aca="true" t="shared" si="0" ref="G12:G18">SUM(D12:F12)</f>
        <v>4</v>
      </c>
      <c r="H12" s="706">
        <v>0</v>
      </c>
      <c r="I12" s="707">
        <v>0</v>
      </c>
      <c r="J12" s="707">
        <v>0</v>
      </c>
      <c r="K12" s="707">
        <v>0</v>
      </c>
      <c r="L12" s="705">
        <f aca="true" t="shared" si="1" ref="L12:L18">SUM(H12:K12)</f>
        <v>0</v>
      </c>
      <c r="M12" s="708">
        <f>D12+E12+H12</f>
        <v>0</v>
      </c>
      <c r="N12" s="709">
        <f>F12+J12+I12+K12</f>
        <v>4</v>
      </c>
      <c r="O12" s="705">
        <f>N12+M12</f>
        <v>4</v>
      </c>
    </row>
    <row r="13" spans="1:15" ht="12.75">
      <c r="A13" s="701" t="s">
        <v>556</v>
      </c>
      <c r="B13" s="702"/>
      <c r="C13" s="703" t="s">
        <v>557</v>
      </c>
      <c r="D13" s="704">
        <v>0</v>
      </c>
      <c r="E13" s="704">
        <v>0</v>
      </c>
      <c r="F13" s="704">
        <v>23</v>
      </c>
      <c r="G13" s="705">
        <f t="shared" si="0"/>
        <v>23</v>
      </c>
      <c r="H13" s="706">
        <v>0</v>
      </c>
      <c r="I13" s="707">
        <v>0</v>
      </c>
      <c r="J13" s="707">
        <v>0</v>
      </c>
      <c r="K13" s="707">
        <v>0</v>
      </c>
      <c r="L13" s="705">
        <f t="shared" si="1"/>
        <v>0</v>
      </c>
      <c r="M13" s="708">
        <f aca="true" t="shared" si="2" ref="M13:M18">D13+E13+H13</f>
        <v>0</v>
      </c>
      <c r="N13" s="709">
        <f aca="true" t="shared" si="3" ref="N13:N18">F13+J13+I13+K13</f>
        <v>23</v>
      </c>
      <c r="O13" s="705">
        <f aca="true" t="shared" si="4" ref="O13:O18">N13+M13</f>
        <v>23</v>
      </c>
    </row>
    <row r="14" spans="1:15" ht="12.75">
      <c r="A14" s="701">
        <v>8843</v>
      </c>
      <c r="B14" s="702"/>
      <c r="C14" s="703" t="s">
        <v>546</v>
      </c>
      <c r="D14" s="704">
        <v>3653</v>
      </c>
      <c r="E14" s="704">
        <v>226</v>
      </c>
      <c r="F14" s="704">
        <v>331</v>
      </c>
      <c r="G14" s="705">
        <f t="shared" si="0"/>
        <v>4210</v>
      </c>
      <c r="H14" s="706">
        <v>118</v>
      </c>
      <c r="I14" s="707">
        <v>0</v>
      </c>
      <c r="J14" s="707">
        <v>0</v>
      </c>
      <c r="K14" s="707">
        <v>235</v>
      </c>
      <c r="L14" s="705">
        <f t="shared" si="1"/>
        <v>353</v>
      </c>
      <c r="M14" s="708">
        <f t="shared" si="2"/>
        <v>3997</v>
      </c>
      <c r="N14" s="709">
        <f t="shared" si="3"/>
        <v>566</v>
      </c>
      <c r="O14" s="705">
        <f t="shared" si="4"/>
        <v>4563</v>
      </c>
    </row>
    <row r="15" spans="1:15" ht="12.75">
      <c r="A15" s="710">
        <v>8848</v>
      </c>
      <c r="B15" s="702"/>
      <c r="C15" s="711" t="s">
        <v>547</v>
      </c>
      <c r="D15" s="704">
        <v>745</v>
      </c>
      <c r="E15" s="704">
        <v>2579</v>
      </c>
      <c r="F15" s="704">
        <v>21</v>
      </c>
      <c r="G15" s="705">
        <f t="shared" si="0"/>
        <v>3345</v>
      </c>
      <c r="H15" s="706">
        <v>4</v>
      </c>
      <c r="I15" s="707">
        <v>0</v>
      </c>
      <c r="J15" s="707">
        <v>0</v>
      </c>
      <c r="K15" s="707">
        <v>100</v>
      </c>
      <c r="L15" s="705">
        <f t="shared" si="1"/>
        <v>104</v>
      </c>
      <c r="M15" s="708">
        <f t="shared" si="2"/>
        <v>3328</v>
      </c>
      <c r="N15" s="709">
        <f t="shared" si="3"/>
        <v>121</v>
      </c>
      <c r="O15" s="705">
        <f t="shared" si="4"/>
        <v>3449</v>
      </c>
    </row>
    <row r="16" spans="1:15" ht="12.75">
      <c r="A16" s="710" t="s">
        <v>548</v>
      </c>
      <c r="B16" s="702"/>
      <c r="C16" s="711" t="s">
        <v>549</v>
      </c>
      <c r="D16" s="704">
        <v>284</v>
      </c>
      <c r="E16" s="704">
        <v>5</v>
      </c>
      <c r="F16" s="704">
        <v>9</v>
      </c>
      <c r="G16" s="705">
        <f t="shared" si="0"/>
        <v>298</v>
      </c>
      <c r="H16" s="706">
        <v>11</v>
      </c>
      <c r="I16" s="707">
        <v>0</v>
      </c>
      <c r="J16" s="707">
        <v>0</v>
      </c>
      <c r="K16" s="707">
        <v>0</v>
      </c>
      <c r="L16" s="705">
        <f t="shared" si="1"/>
        <v>11</v>
      </c>
      <c r="M16" s="708">
        <f t="shared" si="2"/>
        <v>300</v>
      </c>
      <c r="N16" s="709">
        <f t="shared" si="3"/>
        <v>9</v>
      </c>
      <c r="O16" s="705">
        <f t="shared" si="4"/>
        <v>309</v>
      </c>
    </row>
    <row r="17" spans="1:15" ht="12.75">
      <c r="A17" s="710">
        <v>8888</v>
      </c>
      <c r="B17" s="702"/>
      <c r="C17" s="711" t="s">
        <v>550</v>
      </c>
      <c r="D17" s="704">
        <v>192</v>
      </c>
      <c r="E17" s="704">
        <v>34</v>
      </c>
      <c r="F17" s="704">
        <v>115</v>
      </c>
      <c r="G17" s="705">
        <f t="shared" si="0"/>
        <v>341</v>
      </c>
      <c r="H17" s="706">
        <v>1</v>
      </c>
      <c r="I17" s="707">
        <v>2</v>
      </c>
      <c r="J17" s="707">
        <v>0</v>
      </c>
      <c r="K17" s="707">
        <v>1</v>
      </c>
      <c r="L17" s="705">
        <f t="shared" si="1"/>
        <v>4</v>
      </c>
      <c r="M17" s="708">
        <f t="shared" si="2"/>
        <v>227</v>
      </c>
      <c r="N17" s="709">
        <f t="shared" si="3"/>
        <v>118</v>
      </c>
      <c r="O17" s="705">
        <f t="shared" si="4"/>
        <v>345</v>
      </c>
    </row>
    <row r="18" spans="1:15" ht="12.75">
      <c r="A18" s="712" t="s">
        <v>470</v>
      </c>
      <c r="B18" s="702"/>
      <c r="C18" s="711"/>
      <c r="D18" s="704">
        <v>7766</v>
      </c>
      <c r="E18" s="704">
        <v>0</v>
      </c>
      <c r="F18" s="704">
        <v>1057</v>
      </c>
      <c r="G18" s="705">
        <f t="shared" si="0"/>
        <v>8823</v>
      </c>
      <c r="H18" s="706">
        <v>0</v>
      </c>
      <c r="I18" s="707">
        <v>0</v>
      </c>
      <c r="J18" s="707">
        <v>0</v>
      </c>
      <c r="K18" s="707">
        <v>0</v>
      </c>
      <c r="L18" s="705">
        <f t="shared" si="1"/>
        <v>0</v>
      </c>
      <c r="M18" s="708">
        <f t="shared" si="2"/>
        <v>7766</v>
      </c>
      <c r="N18" s="709">
        <f t="shared" si="3"/>
        <v>1057</v>
      </c>
      <c r="O18" s="705">
        <f t="shared" si="4"/>
        <v>8823</v>
      </c>
    </row>
    <row r="19" spans="1:15" ht="12.75">
      <c r="A19" s="713"/>
      <c r="B19" s="714"/>
      <c r="C19" s="715" t="s">
        <v>338</v>
      </c>
      <c r="D19" s="716">
        <f aca="true" t="shared" si="5" ref="D19:O19">SUM(D12:D18)</f>
        <v>12640</v>
      </c>
      <c r="E19" s="717">
        <f t="shared" si="5"/>
        <v>2844</v>
      </c>
      <c r="F19" s="717">
        <f t="shared" si="5"/>
        <v>1560</v>
      </c>
      <c r="G19" s="717">
        <f t="shared" si="5"/>
        <v>17044</v>
      </c>
      <c r="H19" s="716">
        <f t="shared" si="5"/>
        <v>134</v>
      </c>
      <c r="I19" s="717">
        <f t="shared" si="5"/>
        <v>2</v>
      </c>
      <c r="J19" s="718">
        <f t="shared" si="5"/>
        <v>0</v>
      </c>
      <c r="K19" s="717">
        <f t="shared" si="5"/>
        <v>336</v>
      </c>
      <c r="L19" s="719">
        <f t="shared" si="5"/>
        <v>472</v>
      </c>
      <c r="M19" s="716">
        <f t="shared" si="5"/>
        <v>15618</v>
      </c>
      <c r="N19" s="717">
        <f t="shared" si="5"/>
        <v>1898</v>
      </c>
      <c r="O19" s="719">
        <f t="shared" si="5"/>
        <v>17516</v>
      </c>
    </row>
    <row r="21" spans="1:15" ht="12.75">
      <c r="A21" s="609"/>
      <c r="B21" s="609"/>
      <c r="C21" s="720"/>
      <c r="D21" s="721"/>
      <c r="E21" s="721"/>
      <c r="F21" s="722"/>
      <c r="G21" s="722"/>
      <c r="H21" s="722"/>
      <c r="I21" s="723"/>
      <c r="J21" s="723"/>
      <c r="K21" s="722"/>
      <c r="L21" s="722"/>
      <c r="M21" s="724"/>
      <c r="N21" s="724"/>
      <c r="O21" s="724"/>
    </row>
    <row r="22" spans="1:14" ht="12.75">
      <c r="A22" s="608" t="s">
        <v>471</v>
      </c>
      <c r="B22" s="609"/>
      <c r="C22" s="610" t="s">
        <v>554</v>
      </c>
      <c r="D22" s="611"/>
      <c r="E22" s="611"/>
      <c r="F22" s="611"/>
      <c r="G22" s="611"/>
      <c r="H22" s="611"/>
      <c r="I22" s="611"/>
      <c r="J22" s="611"/>
      <c r="K22" s="611"/>
      <c r="L22" s="611"/>
      <c r="M22" s="198"/>
      <c r="N22" s="198"/>
    </row>
    <row r="23" spans="1:14" ht="12.75">
      <c r="A23" s="613"/>
      <c r="B23" s="609"/>
      <c r="C23" s="613" t="s">
        <v>472</v>
      </c>
      <c r="D23" s="611"/>
      <c r="E23" s="611"/>
      <c r="F23" s="611"/>
      <c r="G23" s="611"/>
      <c r="H23" s="611"/>
      <c r="I23" s="611"/>
      <c r="J23" s="611"/>
      <c r="K23" s="611"/>
      <c r="L23" s="611"/>
      <c r="M23" s="198"/>
      <c r="N23" s="198"/>
    </row>
    <row r="24" spans="1:14" ht="12.75">
      <c r="A24" s="613"/>
      <c r="B24" s="609"/>
      <c r="C24" s="613" t="s">
        <v>473</v>
      </c>
      <c r="D24" s="611"/>
      <c r="E24" s="611"/>
      <c r="F24" s="611"/>
      <c r="G24" s="611"/>
      <c r="H24" s="611"/>
      <c r="I24" s="611"/>
      <c r="J24" s="611"/>
      <c r="K24" s="611"/>
      <c r="L24" s="611"/>
      <c r="M24" s="198"/>
      <c r="N24" s="198"/>
    </row>
    <row r="25" spans="1:14" ht="12.75" customHeight="1">
      <c r="A25" s="613"/>
      <c r="B25" s="609"/>
      <c r="C25" s="613"/>
      <c r="D25" s="611"/>
      <c r="E25" s="611"/>
      <c r="F25" s="611"/>
      <c r="G25" s="611"/>
      <c r="H25" s="611"/>
      <c r="I25" s="611"/>
      <c r="J25" s="611"/>
      <c r="K25" s="611"/>
      <c r="L25" s="611"/>
      <c r="M25" s="198"/>
      <c r="N25" s="198"/>
    </row>
    <row r="26" spans="1:14" ht="12.75">
      <c r="A26" s="613"/>
      <c r="B26" s="609"/>
      <c r="C26" s="613"/>
      <c r="D26" s="611"/>
      <c r="E26" s="611"/>
      <c r="F26" s="611"/>
      <c r="G26" s="611"/>
      <c r="H26" s="611"/>
      <c r="I26" s="611"/>
      <c r="J26" s="611"/>
      <c r="K26" s="611"/>
      <c r="L26" s="611"/>
      <c r="M26" s="198"/>
      <c r="N26" s="198"/>
    </row>
    <row r="27" spans="1:13" ht="12.75">
      <c r="A27" s="608" t="s">
        <v>340</v>
      </c>
      <c r="B27" s="614" t="s">
        <v>474</v>
      </c>
      <c r="C27" s="609" t="s">
        <v>475</v>
      </c>
      <c r="D27" s="609"/>
      <c r="E27" s="609"/>
      <c r="F27" s="609"/>
      <c r="G27" s="609"/>
      <c r="H27" s="609"/>
      <c r="I27" s="609"/>
      <c r="J27" s="609"/>
      <c r="K27" s="609"/>
      <c r="L27" s="609"/>
      <c r="M27" s="96"/>
    </row>
    <row r="28" spans="1:13" ht="12.75">
      <c r="A28" s="613"/>
      <c r="B28" s="615"/>
      <c r="C28" s="609" t="s">
        <v>476</v>
      </c>
      <c r="D28" s="609"/>
      <c r="E28" s="609"/>
      <c r="F28" s="609"/>
      <c r="G28" s="609"/>
      <c r="H28" s="609"/>
      <c r="I28" s="609"/>
      <c r="J28" s="609"/>
      <c r="K28" s="609"/>
      <c r="L28" s="609"/>
      <c r="M28" s="96"/>
    </row>
    <row r="29" spans="1:14" ht="12.75">
      <c r="A29" s="613"/>
      <c r="B29" s="615"/>
      <c r="C29" s="613"/>
      <c r="D29" s="611"/>
      <c r="E29" s="611"/>
      <c r="F29" s="611"/>
      <c r="G29" s="611"/>
      <c r="H29" s="611"/>
      <c r="I29" s="611"/>
      <c r="J29" s="611"/>
      <c r="K29" s="611"/>
      <c r="L29" s="611"/>
      <c r="M29" s="198"/>
      <c r="N29" s="198"/>
    </row>
    <row r="30" spans="1:13" ht="12.75">
      <c r="A30" s="613"/>
      <c r="B30" s="614" t="s">
        <v>477</v>
      </c>
      <c r="C30" s="609" t="s">
        <v>478</v>
      </c>
      <c r="D30" s="609"/>
      <c r="E30" s="609"/>
      <c r="F30" s="609"/>
      <c r="G30" s="609"/>
      <c r="H30" s="609"/>
      <c r="I30" s="609"/>
      <c r="J30" s="609"/>
      <c r="K30" s="609"/>
      <c r="L30" s="609"/>
      <c r="M30" s="96"/>
    </row>
    <row r="31" spans="1:13" ht="12.75">
      <c r="A31" s="613"/>
      <c r="B31" s="615"/>
      <c r="C31" s="609" t="s">
        <v>479</v>
      </c>
      <c r="D31" s="609"/>
      <c r="E31" s="609"/>
      <c r="F31" s="609"/>
      <c r="G31" s="609"/>
      <c r="H31" s="609"/>
      <c r="I31" s="609"/>
      <c r="J31" s="609"/>
      <c r="K31" s="609"/>
      <c r="L31" s="609"/>
      <c r="M31" s="96"/>
    </row>
    <row r="32" spans="1:13" ht="12.75">
      <c r="A32" s="613"/>
      <c r="B32" s="615"/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96"/>
    </row>
    <row r="33" spans="1:14" ht="12.75">
      <c r="A33" s="613"/>
      <c r="B33" s="614" t="s">
        <v>480</v>
      </c>
      <c r="C33" s="609" t="s">
        <v>481</v>
      </c>
      <c r="D33" s="616"/>
      <c r="E33" s="616"/>
      <c r="F33" s="616"/>
      <c r="G33" s="616"/>
      <c r="H33" s="616"/>
      <c r="I33" s="616"/>
      <c r="J33" s="616"/>
      <c r="K33" s="616"/>
      <c r="L33" s="616"/>
      <c r="M33" s="725"/>
      <c r="N33" s="198"/>
    </row>
    <row r="34" spans="1:14" ht="12.75">
      <c r="A34" s="613"/>
      <c r="B34" s="615"/>
      <c r="C34" s="609" t="s">
        <v>482</v>
      </c>
      <c r="D34" s="609"/>
      <c r="E34" s="609"/>
      <c r="F34" s="609"/>
      <c r="G34" s="609"/>
      <c r="H34" s="609"/>
      <c r="I34" s="609"/>
      <c r="J34" s="609"/>
      <c r="K34" s="609"/>
      <c r="L34" s="609"/>
      <c r="M34" s="198"/>
      <c r="N34" s="198"/>
    </row>
    <row r="35" spans="1:14" ht="12.75">
      <c r="A35" s="613"/>
      <c r="B35" s="615"/>
      <c r="C35" s="613"/>
      <c r="D35" s="611"/>
      <c r="E35" s="611"/>
      <c r="F35" s="611"/>
      <c r="G35" s="611"/>
      <c r="H35" s="611"/>
      <c r="I35" s="611"/>
      <c r="J35" s="611"/>
      <c r="K35" s="611"/>
      <c r="L35" s="611"/>
      <c r="M35" s="198"/>
      <c r="N35" s="198"/>
    </row>
    <row r="36" spans="1:14" ht="12.75">
      <c r="A36" s="608" t="s">
        <v>483</v>
      </c>
      <c r="B36" s="609"/>
      <c r="C36" s="477"/>
      <c r="D36" s="96"/>
      <c r="E36" s="96"/>
      <c r="F36" s="96"/>
      <c r="G36" s="476"/>
      <c r="H36" s="96"/>
      <c r="I36" s="96"/>
      <c r="J36" s="96"/>
      <c r="K36" s="96"/>
      <c r="L36" s="476"/>
      <c r="M36" s="198"/>
      <c r="N36" s="198"/>
    </row>
    <row r="37" spans="1:14" ht="12.75">
      <c r="A37" s="613"/>
      <c r="B37" s="609"/>
      <c r="C37" s="610"/>
      <c r="D37" s="617"/>
      <c r="E37" s="611"/>
      <c r="F37" s="611"/>
      <c r="G37" s="611"/>
      <c r="H37" s="611"/>
      <c r="I37" s="611"/>
      <c r="J37" s="611"/>
      <c r="K37" s="611"/>
      <c r="L37" s="611"/>
      <c r="M37" s="198"/>
      <c r="N37" s="198"/>
    </row>
    <row r="38" spans="1:14" ht="12.75">
      <c r="A38" s="613"/>
      <c r="B38" s="609"/>
      <c r="C38" s="610" t="s">
        <v>484</v>
      </c>
      <c r="D38" s="611"/>
      <c r="E38" s="611"/>
      <c r="F38" s="611"/>
      <c r="G38" s="611"/>
      <c r="H38" s="611"/>
      <c r="I38" s="611"/>
      <c r="J38" s="611"/>
      <c r="K38" s="611"/>
      <c r="L38" s="611"/>
      <c r="M38" s="198"/>
      <c r="N38" s="198"/>
    </row>
    <row r="39" spans="1:15" ht="12.75">
      <c r="A39" s="613"/>
      <c r="B39" s="609"/>
      <c r="C39" s="618" t="s">
        <v>485</v>
      </c>
      <c r="D39" s="611"/>
      <c r="E39" s="611"/>
      <c r="F39" s="611"/>
      <c r="G39" s="611"/>
      <c r="H39" s="611"/>
      <c r="I39" s="611"/>
      <c r="J39" s="611"/>
      <c r="K39" s="611"/>
      <c r="L39" s="611"/>
      <c r="M39" s="198"/>
      <c r="N39" s="96"/>
      <c r="O39" s="476"/>
    </row>
    <row r="40" spans="1:15" ht="12.75">
      <c r="A40" s="613"/>
      <c r="B40" s="609"/>
      <c r="C40" s="618" t="s">
        <v>486</v>
      </c>
      <c r="D40" s="611"/>
      <c r="E40" s="611"/>
      <c r="F40" s="611"/>
      <c r="G40" s="611"/>
      <c r="H40" s="611"/>
      <c r="I40" s="611"/>
      <c r="J40" s="611"/>
      <c r="K40" s="611"/>
      <c r="L40" s="611"/>
      <c r="M40" s="198"/>
      <c r="N40" s="96"/>
      <c r="O40" s="198"/>
    </row>
    <row r="41" spans="3:15" ht="12.75">
      <c r="C41" s="373" t="s">
        <v>555</v>
      </c>
      <c r="M41" s="198"/>
      <c r="N41" s="96"/>
      <c r="O41" s="198"/>
    </row>
    <row r="42" spans="13:15" ht="12.75">
      <c r="M42" s="198"/>
      <c r="N42" s="96"/>
      <c r="O42" s="198"/>
    </row>
  </sheetData>
  <sheetProtection/>
  <mergeCells count="6">
    <mergeCell ref="A1:O1"/>
    <mergeCell ref="A2:O2"/>
    <mergeCell ref="A3:O3"/>
    <mergeCell ref="D7:G7"/>
    <mergeCell ref="H7:L7"/>
    <mergeCell ref="M7:O7"/>
  </mergeCells>
  <printOptions horizontalCentered="1"/>
  <pageMargins left="0" right="0" top="0.75" bottom="0.75" header="0" footer="0.25"/>
  <pageSetup horizontalDpi="600" verticalDpi="600" orientation="portrait" scale="78" r:id="rId1"/>
  <headerFooter>
    <oddFooter>&amp;C&amp;12- 14 -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A1" sqref="A1:I1"/>
    </sheetView>
  </sheetViews>
  <sheetFormatPr defaultColWidth="20.28125" defaultRowHeight="12.75"/>
  <cols>
    <col min="1" max="1" width="5.140625" style="30" customWidth="1"/>
    <col min="2" max="2" width="49.57421875" style="29" customWidth="1"/>
    <col min="3" max="3" width="15.421875" style="71" customWidth="1"/>
    <col min="4" max="4" width="2.00390625" style="71" customWidth="1"/>
    <col min="5" max="5" width="15.421875" style="71" customWidth="1"/>
    <col min="6" max="6" width="2.00390625" style="71" customWidth="1"/>
    <col min="7" max="7" width="15.140625" style="31" customWidth="1"/>
    <col min="8" max="8" width="2.00390625" style="31" customWidth="1"/>
    <col min="9" max="9" width="15.28125" style="32" customWidth="1"/>
    <col min="10" max="16384" width="20.28125" style="9" customWidth="1"/>
  </cols>
  <sheetData>
    <row r="1" spans="1:9" s="1" customFormat="1" ht="20.25">
      <c r="A1" s="866" t="s">
        <v>82</v>
      </c>
      <c r="B1" s="866"/>
      <c r="C1" s="866"/>
      <c r="D1" s="866"/>
      <c r="E1" s="866"/>
      <c r="F1" s="866"/>
      <c r="G1" s="866"/>
      <c r="H1" s="866"/>
      <c r="I1" s="866"/>
    </row>
    <row r="2" spans="1:9" s="2" customFormat="1" ht="18.75">
      <c r="A2" s="867" t="s">
        <v>0</v>
      </c>
      <c r="B2" s="867"/>
      <c r="C2" s="867"/>
      <c r="D2" s="867"/>
      <c r="E2" s="867"/>
      <c r="F2" s="867"/>
      <c r="G2" s="867"/>
      <c r="H2" s="867"/>
      <c r="I2" s="867"/>
    </row>
    <row r="3" spans="1:9" s="3" customFormat="1" ht="15">
      <c r="A3" s="868" t="s">
        <v>403</v>
      </c>
      <c r="B3" s="868"/>
      <c r="C3" s="868"/>
      <c r="D3" s="868"/>
      <c r="E3" s="868"/>
      <c r="F3" s="868"/>
      <c r="G3" s="868"/>
      <c r="H3" s="868"/>
      <c r="I3" s="868"/>
    </row>
    <row r="4" spans="1:9" s="3" customFormat="1" ht="15">
      <c r="A4" s="196"/>
      <c r="B4" s="196"/>
      <c r="C4" s="196"/>
      <c r="D4" s="196"/>
      <c r="E4" s="196"/>
      <c r="F4" s="196"/>
      <c r="G4" s="196"/>
      <c r="H4" s="196"/>
      <c r="I4" s="196"/>
    </row>
    <row r="5" spans="1:9" s="5" customFormat="1" ht="14.25">
      <c r="A5" s="4"/>
      <c r="B5" s="4"/>
      <c r="C5" s="4"/>
      <c r="D5" s="4"/>
      <c r="E5" s="4"/>
      <c r="F5" s="4"/>
      <c r="G5" s="4"/>
      <c r="H5" s="4"/>
      <c r="I5" s="79"/>
    </row>
    <row r="6" spans="1:9" s="5" customFormat="1" ht="14.25">
      <c r="A6" s="4"/>
      <c r="B6" s="4"/>
      <c r="C6" s="4"/>
      <c r="D6" s="4"/>
      <c r="E6" s="4"/>
      <c r="F6" s="4"/>
      <c r="G6" s="4"/>
      <c r="H6" s="4"/>
      <c r="I6" s="79"/>
    </row>
    <row r="7" spans="1:9" ht="12.75">
      <c r="A7" s="6"/>
      <c r="B7" s="7"/>
      <c r="C7" s="80"/>
      <c r="D7" s="80"/>
      <c r="E7" s="80"/>
      <c r="F7" s="80"/>
      <c r="G7" s="81"/>
      <c r="H7" s="81"/>
      <c r="I7" s="81"/>
    </row>
    <row r="8" spans="1:9" s="13" customFormat="1" ht="6" customHeight="1">
      <c r="A8" s="10" t="s">
        <v>1</v>
      </c>
      <c r="B8" s="11"/>
      <c r="C8" s="12"/>
      <c r="D8" s="12"/>
      <c r="E8" s="12"/>
      <c r="F8" s="12"/>
      <c r="G8" s="76"/>
      <c r="H8" s="76"/>
      <c r="I8" s="76"/>
    </row>
    <row r="9" spans="1:9" s="16" customFormat="1" ht="12">
      <c r="A9" s="10"/>
      <c r="B9" s="72"/>
      <c r="C9" s="73" t="s">
        <v>389</v>
      </c>
      <c r="D9" s="73"/>
      <c r="E9" s="77" t="s">
        <v>249</v>
      </c>
      <c r="F9" s="73"/>
      <c r="G9" s="77" t="s">
        <v>249</v>
      </c>
      <c r="H9" s="77"/>
      <c r="I9" s="77" t="s">
        <v>350</v>
      </c>
    </row>
    <row r="10" spans="1:9" s="16" customFormat="1" ht="12">
      <c r="A10" s="188"/>
      <c r="B10" s="74"/>
      <c r="C10" s="73" t="s">
        <v>396</v>
      </c>
      <c r="D10" s="73"/>
      <c r="E10" s="74" t="s">
        <v>404</v>
      </c>
      <c r="F10" s="73"/>
      <c r="G10" s="74" t="s">
        <v>250</v>
      </c>
      <c r="H10" s="74"/>
      <c r="I10" s="74" t="s">
        <v>5</v>
      </c>
    </row>
    <row r="11" spans="1:9" s="16" customFormat="1" ht="12">
      <c r="A11" s="800" t="s">
        <v>4</v>
      </c>
      <c r="C11" s="183">
        <v>42186</v>
      </c>
      <c r="D11" s="183"/>
      <c r="E11" s="183">
        <v>42265</v>
      </c>
      <c r="F11" s="183"/>
      <c r="G11" s="374" t="s">
        <v>405</v>
      </c>
      <c r="H11" s="374"/>
      <c r="I11" s="375">
        <v>42311</v>
      </c>
    </row>
    <row r="12" spans="1:9" s="16" customFormat="1" ht="6" customHeight="1">
      <c r="A12" s="17"/>
      <c r="B12" s="17"/>
      <c r="C12" s="75"/>
      <c r="D12" s="75"/>
      <c r="E12" s="75"/>
      <c r="F12" s="75"/>
      <c r="G12" s="78"/>
      <c r="H12" s="78"/>
      <c r="I12" s="78"/>
    </row>
    <row r="13" spans="1:9" ht="12.75">
      <c r="A13" s="18"/>
      <c r="B13" s="19"/>
      <c r="C13" s="14"/>
      <c r="D13" s="14"/>
      <c r="E13" s="14"/>
      <c r="F13" s="14"/>
      <c r="I13" s="79"/>
    </row>
    <row r="14" spans="1:9" ht="13.5" customHeight="1">
      <c r="A14" s="402">
        <v>401</v>
      </c>
      <c r="B14" s="15" t="s">
        <v>319</v>
      </c>
      <c r="C14" s="388">
        <v>5844620680</v>
      </c>
      <c r="D14" s="388"/>
      <c r="E14" s="388">
        <v>5848019257</v>
      </c>
      <c r="F14" s="388"/>
      <c r="G14" s="389">
        <f>+I14-E14</f>
        <v>1832693</v>
      </c>
      <c r="H14" s="389"/>
      <c r="I14" s="390">
        <v>5849851950</v>
      </c>
    </row>
    <row r="15" spans="1:9" ht="13.5" customHeight="1">
      <c r="A15" s="402">
        <v>402</v>
      </c>
      <c r="B15" s="15" t="s">
        <v>320</v>
      </c>
      <c r="C15" s="32">
        <v>761531373</v>
      </c>
      <c r="D15" s="32"/>
      <c r="E15" s="32">
        <v>761861373</v>
      </c>
      <c r="F15" s="32"/>
      <c r="G15" s="31">
        <f aca="true" t="shared" si="0" ref="G15:G39">+I15-E15</f>
        <v>0</v>
      </c>
      <c r="I15" s="79">
        <v>761861373</v>
      </c>
    </row>
    <row r="16" spans="1:9" ht="13.5" customHeight="1">
      <c r="A16" s="402">
        <v>403</v>
      </c>
      <c r="B16" s="21" t="s">
        <v>321</v>
      </c>
      <c r="C16" s="32">
        <v>1404535490</v>
      </c>
      <c r="D16" s="32"/>
      <c r="E16" s="32">
        <v>1403952074</v>
      </c>
      <c r="F16" s="32"/>
      <c r="G16" s="31">
        <f t="shared" si="0"/>
        <v>0</v>
      </c>
      <c r="I16" s="79">
        <v>1403952074</v>
      </c>
    </row>
    <row r="17" spans="1:9" ht="13.5" customHeight="1">
      <c r="A17" s="402">
        <v>404</v>
      </c>
      <c r="B17" s="21" t="s">
        <v>322</v>
      </c>
      <c r="C17" s="32">
        <v>3976075</v>
      </c>
      <c r="D17" s="32"/>
      <c r="E17" s="32">
        <v>4149878</v>
      </c>
      <c r="F17" s="32"/>
      <c r="G17" s="31">
        <f t="shared" si="0"/>
        <v>0</v>
      </c>
      <c r="I17" s="79">
        <v>4149878</v>
      </c>
    </row>
    <row r="18" spans="1:9" ht="13.5" customHeight="1">
      <c r="A18" s="403">
        <v>406</v>
      </c>
      <c r="B18" s="225" t="s">
        <v>373</v>
      </c>
      <c r="C18" s="32">
        <v>1476587588</v>
      </c>
      <c r="D18" s="32"/>
      <c r="E18" s="32">
        <v>1476587588</v>
      </c>
      <c r="F18" s="32"/>
      <c r="G18" s="31">
        <f t="shared" si="0"/>
        <v>0</v>
      </c>
      <c r="I18" s="79">
        <v>1476587588</v>
      </c>
    </row>
    <row r="19" spans="1:9" ht="13.5" customHeight="1">
      <c r="A19" s="403">
        <v>407</v>
      </c>
      <c r="B19" s="225" t="s">
        <v>391</v>
      </c>
      <c r="C19" s="32">
        <v>385508464</v>
      </c>
      <c r="D19" s="32"/>
      <c r="E19" s="32">
        <v>385508464</v>
      </c>
      <c r="F19" s="32"/>
      <c r="G19" s="31">
        <f t="shared" si="0"/>
        <v>0</v>
      </c>
      <c r="I19" s="79">
        <v>385508464</v>
      </c>
    </row>
    <row r="20" spans="1:9" ht="13.5" customHeight="1">
      <c r="A20" s="403">
        <v>408</v>
      </c>
      <c r="B20" s="225" t="s">
        <v>392</v>
      </c>
      <c r="C20" s="32">
        <v>423370588</v>
      </c>
      <c r="D20" s="32"/>
      <c r="E20" s="32">
        <v>423370588</v>
      </c>
      <c r="F20" s="32"/>
      <c r="G20" s="31">
        <f t="shared" si="0"/>
        <v>0</v>
      </c>
      <c r="I20" s="79">
        <v>423370588</v>
      </c>
    </row>
    <row r="21" spans="1:9" ht="13.5" customHeight="1">
      <c r="A21" s="402">
        <v>415</v>
      </c>
      <c r="B21" s="21" t="s">
        <v>323</v>
      </c>
      <c r="C21" s="32">
        <v>258500838</v>
      </c>
      <c r="D21" s="32"/>
      <c r="E21" s="32">
        <v>258500838</v>
      </c>
      <c r="F21" s="32"/>
      <c r="G21" s="31">
        <f t="shared" si="0"/>
        <v>3128376</v>
      </c>
      <c r="I21" s="79">
        <v>261629214</v>
      </c>
    </row>
    <row r="22" spans="1:9" ht="13.5" customHeight="1">
      <c r="A22" s="402">
        <v>416</v>
      </c>
      <c r="B22" s="21" t="s">
        <v>324</v>
      </c>
      <c r="C22" s="32">
        <v>27679995</v>
      </c>
      <c r="D22" s="32"/>
      <c r="E22" s="32">
        <v>27679995</v>
      </c>
      <c r="F22" s="32"/>
      <c r="G22" s="31">
        <f t="shared" si="0"/>
        <v>0</v>
      </c>
      <c r="I22" s="79">
        <v>27679995</v>
      </c>
    </row>
    <row r="23" spans="1:9" ht="13.5" customHeight="1">
      <c r="A23" s="402">
        <v>421</v>
      </c>
      <c r="B23" s="21" t="s">
        <v>263</v>
      </c>
      <c r="C23" s="32">
        <v>956173266</v>
      </c>
      <c r="D23" s="32"/>
      <c r="E23" s="32">
        <v>956557879</v>
      </c>
      <c r="F23" s="32"/>
      <c r="G23" s="31">
        <f t="shared" si="0"/>
        <v>0</v>
      </c>
      <c r="I23" s="79">
        <v>956557879</v>
      </c>
    </row>
    <row r="24" spans="1:9" ht="13.5" customHeight="1">
      <c r="A24" s="402">
        <v>422</v>
      </c>
      <c r="B24" s="21" t="s">
        <v>268</v>
      </c>
      <c r="C24" s="32">
        <v>20979246</v>
      </c>
      <c r="D24" s="32"/>
      <c r="E24" s="32">
        <v>21004246</v>
      </c>
      <c r="F24" s="32"/>
      <c r="G24" s="31">
        <f t="shared" si="0"/>
        <v>0</v>
      </c>
      <c r="I24" s="79">
        <v>21004246</v>
      </c>
    </row>
    <row r="25" spans="1:9" ht="13.5" customHeight="1">
      <c r="A25" s="402">
        <v>423</v>
      </c>
      <c r="B25" s="21" t="s">
        <v>269</v>
      </c>
      <c r="C25" s="32">
        <v>276851652</v>
      </c>
      <c r="D25" s="32"/>
      <c r="E25" s="32">
        <v>276851652</v>
      </c>
      <c r="F25" s="32"/>
      <c r="G25" s="31">
        <f t="shared" si="0"/>
        <v>-3000000</v>
      </c>
      <c r="I25" s="32">
        <v>273851652</v>
      </c>
    </row>
    <row r="26" spans="1:9" ht="13.5" customHeight="1">
      <c r="A26" s="402">
        <v>424</v>
      </c>
      <c r="B26" s="21" t="s">
        <v>270</v>
      </c>
      <c r="C26" s="32">
        <v>230036818</v>
      </c>
      <c r="D26" s="32"/>
      <c r="E26" s="32">
        <v>230036818</v>
      </c>
      <c r="F26" s="32"/>
      <c r="G26" s="31">
        <f t="shared" si="0"/>
        <v>0</v>
      </c>
      <c r="I26" s="79">
        <v>230036818</v>
      </c>
    </row>
    <row r="27" spans="1:9" ht="13.5" customHeight="1">
      <c r="A27" s="403">
        <v>435</v>
      </c>
      <c r="B27" s="225" t="s">
        <v>271</v>
      </c>
      <c r="C27" s="226">
        <v>445017030</v>
      </c>
      <c r="D27" s="226"/>
      <c r="E27" s="226">
        <v>442333247</v>
      </c>
      <c r="F27" s="226"/>
      <c r="G27" s="227">
        <f t="shared" si="0"/>
        <v>-1848576</v>
      </c>
      <c r="H27" s="227"/>
      <c r="I27" s="228">
        <v>440484671</v>
      </c>
    </row>
    <row r="28" spans="1:9" ht="13.5" customHeight="1">
      <c r="A28" s="402">
        <v>436</v>
      </c>
      <c r="B28" s="21" t="s">
        <v>272</v>
      </c>
      <c r="C28" s="32">
        <v>305148960</v>
      </c>
      <c r="D28" s="32"/>
      <c r="E28" s="32">
        <v>305665661</v>
      </c>
      <c r="F28" s="32"/>
      <c r="G28" s="227">
        <f t="shared" si="0"/>
        <v>10631000</v>
      </c>
      <c r="H28" s="227"/>
      <c r="I28" s="79">
        <v>316296661</v>
      </c>
    </row>
    <row r="29" spans="1:9" ht="13.5" customHeight="1">
      <c r="A29" s="402">
        <v>438</v>
      </c>
      <c r="B29" s="21" t="s">
        <v>273</v>
      </c>
      <c r="C29" s="32">
        <v>1146455675</v>
      </c>
      <c r="D29" s="32"/>
      <c r="E29" s="32">
        <v>1147075717</v>
      </c>
      <c r="F29" s="32"/>
      <c r="G29" s="227">
        <f t="shared" si="0"/>
        <v>0</v>
      </c>
      <c r="H29" s="227"/>
      <c r="I29" s="79">
        <v>1147075717</v>
      </c>
    </row>
    <row r="30" spans="1:9" ht="13.5" customHeight="1">
      <c r="A30" s="402">
        <v>439</v>
      </c>
      <c r="B30" s="21" t="s">
        <v>274</v>
      </c>
      <c r="C30" s="32">
        <v>211668288</v>
      </c>
      <c r="D30" s="32"/>
      <c r="E30" s="32">
        <v>211668288</v>
      </c>
      <c r="F30" s="32"/>
      <c r="G30" s="227">
        <f t="shared" si="0"/>
        <v>44000</v>
      </c>
      <c r="H30" s="227"/>
      <c r="I30" s="79">
        <v>211712288</v>
      </c>
    </row>
    <row r="31" spans="1:9" ht="13.5" customHeight="1">
      <c r="A31" s="402">
        <v>440</v>
      </c>
      <c r="B31" s="21" t="s">
        <v>275</v>
      </c>
      <c r="C31" s="32">
        <v>274321108</v>
      </c>
      <c r="D31" s="32"/>
      <c r="E31" s="32">
        <v>274321108</v>
      </c>
      <c r="F31" s="32"/>
      <c r="G31" s="227">
        <f t="shared" si="0"/>
        <v>284000</v>
      </c>
      <c r="H31" s="227"/>
      <c r="I31" s="79">
        <v>274605108</v>
      </c>
    </row>
    <row r="32" spans="1:9" ht="13.5" customHeight="1">
      <c r="A32" s="402">
        <v>442</v>
      </c>
      <c r="B32" s="21" t="s">
        <v>276</v>
      </c>
      <c r="C32" s="32">
        <v>335713885</v>
      </c>
      <c r="D32" s="32"/>
      <c r="E32" s="32">
        <v>335713885</v>
      </c>
      <c r="F32" s="32"/>
      <c r="G32" s="227">
        <f t="shared" si="0"/>
        <v>0</v>
      </c>
      <c r="H32" s="227"/>
      <c r="I32" s="79">
        <v>335713885</v>
      </c>
    </row>
    <row r="33" spans="1:9" ht="13.5" customHeight="1">
      <c r="A33" s="402">
        <v>444</v>
      </c>
      <c r="B33" s="21" t="s">
        <v>277</v>
      </c>
      <c r="C33" s="32">
        <v>498066494</v>
      </c>
      <c r="D33" s="32"/>
      <c r="E33" s="32">
        <v>498066494</v>
      </c>
      <c r="F33" s="32"/>
      <c r="G33" s="227">
        <f t="shared" si="0"/>
        <v>0</v>
      </c>
      <c r="H33" s="227"/>
      <c r="I33" s="79">
        <v>498066494</v>
      </c>
    </row>
    <row r="34" spans="1:9" ht="13.5" customHeight="1">
      <c r="A34" s="402">
        <v>453</v>
      </c>
      <c r="B34" s="21" t="s">
        <v>279</v>
      </c>
      <c r="C34" s="32">
        <v>174550820</v>
      </c>
      <c r="D34" s="32"/>
      <c r="E34" s="32">
        <v>175026691</v>
      </c>
      <c r="F34" s="32"/>
      <c r="G34" s="227">
        <f t="shared" si="0"/>
        <v>-82352</v>
      </c>
      <c r="H34" s="227"/>
      <c r="I34" s="79">
        <v>174944339</v>
      </c>
    </row>
    <row r="35" spans="1:9" ht="13.5" customHeight="1">
      <c r="A35" s="402">
        <v>454</v>
      </c>
      <c r="B35" s="21" t="s">
        <v>278</v>
      </c>
      <c r="C35" s="32">
        <v>164375156</v>
      </c>
      <c r="D35" s="32"/>
      <c r="E35" s="32">
        <v>164069332</v>
      </c>
      <c r="F35" s="32"/>
      <c r="G35" s="227">
        <f t="shared" si="0"/>
        <v>0</v>
      </c>
      <c r="H35" s="227"/>
      <c r="I35" s="79">
        <v>164069332</v>
      </c>
    </row>
    <row r="36" spans="1:9" ht="13.5" customHeight="1">
      <c r="A36" s="402">
        <v>461</v>
      </c>
      <c r="B36" s="21" t="s">
        <v>280</v>
      </c>
      <c r="C36" s="32">
        <v>3043659644</v>
      </c>
      <c r="D36" s="32"/>
      <c r="E36" s="32">
        <v>3043666537</v>
      </c>
      <c r="F36" s="32"/>
      <c r="G36" s="227">
        <f t="shared" si="0"/>
        <v>21283</v>
      </c>
      <c r="H36" s="227"/>
      <c r="I36" s="79">
        <v>3043687820</v>
      </c>
    </row>
    <row r="37" spans="1:9" ht="13.5" customHeight="1">
      <c r="A37" s="402">
        <v>470</v>
      </c>
      <c r="B37" s="21" t="s">
        <v>282</v>
      </c>
      <c r="C37" s="32">
        <v>909861953</v>
      </c>
      <c r="D37" s="32"/>
      <c r="E37" s="32">
        <v>909861953</v>
      </c>
      <c r="F37" s="32"/>
      <c r="G37" s="227">
        <f t="shared" si="0"/>
        <v>0</v>
      </c>
      <c r="H37" s="227"/>
      <c r="I37" s="79">
        <v>909861953</v>
      </c>
    </row>
    <row r="38" spans="1:9" ht="13.5" customHeight="1">
      <c r="A38" s="403">
        <v>472</v>
      </c>
      <c r="B38" s="225" t="s">
        <v>374</v>
      </c>
      <c r="C38" s="32">
        <v>652495759</v>
      </c>
      <c r="D38" s="32"/>
      <c r="E38" s="32">
        <v>652495759</v>
      </c>
      <c r="F38" s="32"/>
      <c r="G38" s="227">
        <f t="shared" si="0"/>
        <v>0</v>
      </c>
      <c r="H38" s="227"/>
      <c r="I38" s="79">
        <v>652495759</v>
      </c>
    </row>
    <row r="39" spans="1:9" ht="13.5" customHeight="1">
      <c r="A39" s="402">
        <v>474</v>
      </c>
      <c r="B39" s="21" t="s">
        <v>281</v>
      </c>
      <c r="C39" s="32">
        <v>66690570</v>
      </c>
      <c r="D39" s="32"/>
      <c r="E39" s="32">
        <v>66690570</v>
      </c>
      <c r="F39" s="32"/>
      <c r="G39" s="227">
        <f t="shared" si="0"/>
        <v>0</v>
      </c>
      <c r="H39" s="227"/>
      <c r="I39" s="79">
        <v>66690570</v>
      </c>
    </row>
    <row r="40" spans="1:9" ht="6.75" customHeight="1">
      <c r="A40" s="402"/>
      <c r="B40" s="21"/>
      <c r="C40" s="20"/>
      <c r="D40" s="20"/>
      <c r="E40" s="20"/>
      <c r="F40" s="20"/>
      <c r="I40" s="79"/>
    </row>
    <row r="41" spans="1:9" ht="12.75" hidden="1">
      <c r="A41" s="402"/>
      <c r="B41" s="21"/>
      <c r="C41" s="20"/>
      <c r="D41" s="20"/>
      <c r="E41" s="20"/>
      <c r="F41" s="20"/>
      <c r="I41" s="79"/>
    </row>
    <row r="42" spans="1:9" s="805" customFormat="1" ht="13.5" customHeight="1">
      <c r="A42" s="801" t="s">
        <v>583</v>
      </c>
      <c r="B42" s="803"/>
      <c r="C42" s="804">
        <f>SUM(C14:C41)</f>
        <v>20298377415</v>
      </c>
      <c r="D42" s="804"/>
      <c r="E42" s="804">
        <f>SUM(E14:E41)</f>
        <v>20300735892</v>
      </c>
      <c r="F42" s="804"/>
      <c r="G42" s="804">
        <f>SUM(G14:G41)</f>
        <v>11010424</v>
      </c>
      <c r="H42" s="804"/>
      <c r="I42" s="804">
        <f>SUM(I14:I41)</f>
        <v>20311746316</v>
      </c>
    </row>
    <row r="43" spans="1:9" ht="6.75" customHeight="1">
      <c r="A43" s="404"/>
      <c r="B43" s="67"/>
      <c r="C43" s="68"/>
      <c r="D43" s="68"/>
      <c r="E43" s="68"/>
      <c r="F43" s="68"/>
      <c r="I43" s="79"/>
    </row>
    <row r="44" spans="1:9" ht="13.5" customHeight="1">
      <c r="A44" s="402">
        <v>481</v>
      </c>
      <c r="B44" s="21" t="s">
        <v>7</v>
      </c>
      <c r="C44" s="31">
        <v>1011695696</v>
      </c>
      <c r="D44" s="31"/>
      <c r="E44" s="31">
        <v>1011695696</v>
      </c>
      <c r="F44" s="31"/>
      <c r="G44" s="227">
        <f>+I44-E44</f>
        <v>717424</v>
      </c>
      <c r="H44" s="227"/>
      <c r="I44" s="79">
        <v>1012413120</v>
      </c>
    </row>
    <row r="45" spans="1:9" ht="13.5" customHeight="1">
      <c r="A45" s="402">
        <v>482</v>
      </c>
      <c r="B45" s="21" t="s">
        <v>8</v>
      </c>
      <c r="C45" s="32">
        <v>599635645</v>
      </c>
      <c r="D45" s="32"/>
      <c r="E45" s="32">
        <v>606385396</v>
      </c>
      <c r="F45" s="32"/>
      <c r="G45" s="227">
        <f>+I45-E45</f>
        <v>658509</v>
      </c>
      <c r="H45" s="227"/>
      <c r="I45" s="79">
        <v>607043905</v>
      </c>
    </row>
    <row r="46" spans="1:9" ht="6.75" customHeight="1">
      <c r="A46" s="74"/>
      <c r="B46" s="21"/>
      <c r="C46" s="20"/>
      <c r="D46" s="20"/>
      <c r="E46" s="20"/>
      <c r="F46" s="20"/>
      <c r="I46" s="79"/>
    </row>
    <row r="47" spans="1:9" ht="13.5" customHeight="1">
      <c r="A47" s="801" t="s">
        <v>584</v>
      </c>
      <c r="B47" s="22"/>
      <c r="C47" s="391">
        <f>SUM(C44:C46)</f>
        <v>1611331341</v>
      </c>
      <c r="D47" s="391"/>
      <c r="E47" s="391">
        <f>SUM(E44:E46)</f>
        <v>1618081092</v>
      </c>
      <c r="F47" s="391"/>
      <c r="G47" s="391">
        <f>SUM(G44:G46)</f>
        <v>1375933</v>
      </c>
      <c r="H47" s="391"/>
      <c r="I47" s="391">
        <f>SUM(I44:I46)</f>
        <v>1619457025</v>
      </c>
    </row>
    <row r="48" spans="1:9" ht="11.25" customHeight="1" thickBot="1">
      <c r="A48" s="18"/>
      <c r="B48" s="21"/>
      <c r="C48" s="20"/>
      <c r="D48" s="20"/>
      <c r="E48" s="20"/>
      <c r="F48" s="20"/>
      <c r="I48" s="79"/>
    </row>
    <row r="49" spans="1:9" s="25" customFormat="1" ht="15" customHeight="1" thickBot="1" thickTop="1">
      <c r="A49" s="802" t="s">
        <v>9</v>
      </c>
      <c r="B49" s="24"/>
      <c r="C49" s="87">
        <f>C47+C42</f>
        <v>21909708756</v>
      </c>
      <c r="D49" s="87"/>
      <c r="E49" s="87">
        <f>E47+E42</f>
        <v>21918816984</v>
      </c>
      <c r="F49" s="87"/>
      <c r="G49" s="87">
        <f>G47+G42</f>
        <v>12386357</v>
      </c>
      <c r="H49" s="87"/>
      <c r="I49" s="87">
        <f>I47+I42</f>
        <v>21931203341</v>
      </c>
    </row>
    <row r="50" spans="1:9" ht="8.25" customHeight="1" thickTop="1">
      <c r="A50" s="26"/>
      <c r="B50" s="27"/>
      <c r="C50" s="83"/>
      <c r="D50" s="83"/>
      <c r="E50" s="83"/>
      <c r="F50" s="83"/>
      <c r="G50" s="84"/>
      <c r="H50" s="84"/>
      <c r="I50" s="79"/>
    </row>
    <row r="51" spans="1:9" ht="12.75">
      <c r="A51" s="21" t="s">
        <v>10</v>
      </c>
      <c r="B51" s="28" t="s">
        <v>11</v>
      </c>
      <c r="G51" s="85"/>
      <c r="H51" s="85"/>
      <c r="I51" s="226"/>
    </row>
    <row r="52" spans="1:9" ht="12.75">
      <c r="A52" s="21"/>
      <c r="B52" s="806" t="s">
        <v>406</v>
      </c>
      <c r="C52" s="807"/>
      <c r="D52" s="807"/>
      <c r="E52" s="807"/>
      <c r="F52" s="807"/>
      <c r="G52" s="808"/>
      <c r="H52" s="808"/>
      <c r="I52" s="809">
        <v>3413970387</v>
      </c>
    </row>
    <row r="53" spans="1:9" ht="12.75">
      <c r="A53" s="21"/>
      <c r="B53" s="806" t="s">
        <v>407</v>
      </c>
      <c r="C53" s="807"/>
      <c r="D53" s="807"/>
      <c r="E53" s="807"/>
      <c r="F53" s="807"/>
      <c r="G53" s="808"/>
      <c r="H53" s="808"/>
      <c r="I53" s="808">
        <f>1151760969+2500000</f>
        <v>1154260969</v>
      </c>
    </row>
    <row r="54" ht="8.25" customHeight="1" thickBot="1"/>
    <row r="55" spans="1:9" ht="15" thickBot="1" thickTop="1">
      <c r="A55" s="23" t="s">
        <v>179</v>
      </c>
      <c r="B55" s="24"/>
      <c r="C55" s="86"/>
      <c r="D55" s="86"/>
      <c r="E55" s="86"/>
      <c r="F55" s="86"/>
      <c r="G55" s="82"/>
      <c r="H55" s="82"/>
      <c r="I55" s="87">
        <f>SUM(I49:I53)</f>
        <v>26499434697</v>
      </c>
    </row>
    <row r="56" ht="13.5" thickTop="1"/>
  </sheetData>
  <sheetProtection/>
  <mergeCells count="3">
    <mergeCell ref="A1:I1"/>
    <mergeCell ref="A2:I2"/>
    <mergeCell ref="A3:I3"/>
  </mergeCells>
  <printOptions horizontalCentered="1"/>
  <pageMargins left="0.3" right="0.25" top="0.75" bottom="0.75" header="0.5" footer="0.25"/>
  <pageSetup horizontalDpi="600" verticalDpi="600" orientation="portrait" scale="82" r:id="rId1"/>
  <headerFooter alignWithMargins="0">
    <oddFooter>&amp;C&amp;12- 1 -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:F1"/>
    </sheetView>
  </sheetViews>
  <sheetFormatPr defaultColWidth="20.28125" defaultRowHeight="12.75"/>
  <cols>
    <col min="1" max="1" width="49.8515625" style="30" customWidth="1"/>
    <col min="2" max="2" width="15.28125" style="323" customWidth="1"/>
    <col min="3" max="3" width="1.7109375" style="323" customWidth="1"/>
    <col min="4" max="4" width="25.8515625" style="323" customWidth="1"/>
    <col min="5" max="5" width="1.57421875" style="323" customWidth="1"/>
    <col min="6" max="6" width="17.7109375" style="323" customWidth="1"/>
    <col min="7" max="16384" width="20.28125" style="323" customWidth="1"/>
  </cols>
  <sheetData>
    <row r="1" spans="1:6" s="318" customFormat="1" ht="21.75">
      <c r="A1" s="869" t="s">
        <v>82</v>
      </c>
      <c r="B1" s="869"/>
      <c r="C1" s="869"/>
      <c r="D1" s="869"/>
      <c r="E1" s="869"/>
      <c r="F1" s="869"/>
    </row>
    <row r="2" spans="1:6" s="319" customFormat="1" ht="18.75">
      <c r="A2" s="867" t="s">
        <v>342</v>
      </c>
      <c r="B2" s="867"/>
      <c r="C2" s="867"/>
      <c r="D2" s="867"/>
      <c r="E2" s="867"/>
      <c r="F2" s="867"/>
    </row>
    <row r="3" spans="1:6" s="320" customFormat="1" ht="15">
      <c r="A3" s="870" t="s">
        <v>403</v>
      </c>
      <c r="B3" s="870"/>
      <c r="C3" s="870"/>
      <c r="D3" s="870"/>
      <c r="E3" s="870"/>
      <c r="F3" s="870"/>
    </row>
    <row r="4" spans="1:6" s="321" customFormat="1" ht="14.25">
      <c r="A4" s="4"/>
      <c r="B4" s="4"/>
      <c r="C4" s="4"/>
      <c r="D4" s="4"/>
      <c r="E4" s="4"/>
      <c r="F4" s="4"/>
    </row>
    <row r="5" spans="1:6" s="321" customFormat="1" ht="14.25">
      <c r="A5" s="4"/>
      <c r="B5" s="4"/>
      <c r="C5" s="4"/>
      <c r="D5" s="4"/>
      <c r="E5" s="4"/>
      <c r="F5" s="4"/>
    </row>
    <row r="6" spans="1:6" s="321" customFormat="1" ht="14.25">
      <c r="A6" s="4"/>
      <c r="B6" s="4"/>
      <c r="C6" s="4"/>
      <c r="D6" s="4"/>
      <c r="E6" s="4"/>
      <c r="F6" s="4"/>
    </row>
    <row r="7" spans="1:6" ht="12.75">
      <c r="A7" s="6"/>
      <c r="B7" s="322"/>
      <c r="C7" s="322"/>
      <c r="D7" s="322"/>
      <c r="E7" s="322"/>
      <c r="F7" s="322"/>
    </row>
    <row r="9" spans="1:2" ht="15.75" customHeight="1">
      <c r="A9" s="324" t="s">
        <v>343</v>
      </c>
      <c r="B9" s="325">
        <f>+'City Approved'!G49</f>
        <v>12386357</v>
      </c>
    </row>
    <row r="10" spans="1:2" ht="10.5" customHeight="1" thickBot="1">
      <c r="A10" s="324"/>
      <c r="B10" s="325"/>
    </row>
    <row r="11" spans="1:2" s="328" customFormat="1" ht="15" thickTop="1">
      <c r="A11" s="326"/>
      <c r="B11" s="327"/>
    </row>
    <row r="12" ht="6" customHeight="1"/>
    <row r="13" spans="1:6" ht="6" customHeight="1">
      <c r="A13" s="329"/>
      <c r="B13" s="330"/>
      <c r="C13" s="330"/>
      <c r="D13" s="330"/>
      <c r="E13" s="330"/>
      <c r="F13" s="330"/>
    </row>
    <row r="14" spans="1:6" ht="12.75">
      <c r="A14" s="331"/>
      <c r="B14" s="328"/>
      <c r="C14" s="328"/>
      <c r="D14" s="332" t="s">
        <v>344</v>
      </c>
      <c r="E14" s="332"/>
      <c r="F14" s="332" t="s">
        <v>345</v>
      </c>
    </row>
    <row r="15" spans="1:6" ht="12.75">
      <c r="A15" s="333" t="s">
        <v>346</v>
      </c>
      <c r="B15" s="334" t="s">
        <v>347</v>
      </c>
      <c r="C15" s="328"/>
      <c r="D15" s="332" t="s">
        <v>348</v>
      </c>
      <c r="E15" s="332"/>
      <c r="F15" s="332" t="s">
        <v>3</v>
      </c>
    </row>
    <row r="16" spans="1:6" ht="6" customHeight="1">
      <c r="A16" s="6"/>
      <c r="B16" s="322"/>
      <c r="C16" s="322"/>
      <c r="D16" s="322"/>
      <c r="E16" s="322"/>
      <c r="F16" s="322"/>
    </row>
    <row r="17" spans="1:2" ht="12.75" customHeight="1">
      <c r="A17" s="8"/>
      <c r="B17" s="335"/>
    </row>
    <row r="18" spans="1:6" ht="12.75" customHeight="1">
      <c r="A18" s="361" t="s">
        <v>381</v>
      </c>
      <c r="B18" s="343"/>
      <c r="F18" s="424"/>
    </row>
    <row r="19" spans="1:6" ht="12.75">
      <c r="A19" s="427" t="s">
        <v>413</v>
      </c>
      <c r="B19" s="366">
        <v>120000</v>
      </c>
      <c r="D19" s="405" t="s">
        <v>410</v>
      </c>
      <c r="E19"/>
      <c r="F19" s="406">
        <v>42268</v>
      </c>
    </row>
    <row r="20" spans="1:6" ht="12.75">
      <c r="A20" s="426" t="s">
        <v>415</v>
      </c>
      <c r="B20" s="372">
        <v>10865000</v>
      </c>
      <c r="D20" s="405" t="s">
        <v>409</v>
      </c>
      <c r="F20" s="406">
        <v>42270</v>
      </c>
    </row>
    <row r="21" spans="1:6" ht="12.75">
      <c r="A21" s="428" t="s">
        <v>414</v>
      </c>
      <c r="B21" s="372">
        <v>2220</v>
      </c>
      <c r="D21" s="424" t="s">
        <v>411</v>
      </c>
      <c r="F21" s="425">
        <v>42277</v>
      </c>
    </row>
    <row r="22" spans="1:6" ht="12.75">
      <c r="A22" s="427" t="s">
        <v>438</v>
      </c>
      <c r="B22" s="372">
        <v>145424</v>
      </c>
      <c r="D22" s="405" t="s">
        <v>439</v>
      </c>
      <c r="F22" s="406" t="s">
        <v>586</v>
      </c>
    </row>
    <row r="23" spans="1:6" ht="12.75">
      <c r="A23" s="426" t="s">
        <v>412</v>
      </c>
      <c r="B23" s="372">
        <v>1253713</v>
      </c>
      <c r="D23" s="405" t="s">
        <v>408</v>
      </c>
      <c r="E23" s="323">
        <v>42216</v>
      </c>
      <c r="F23" s="406">
        <v>42292</v>
      </c>
    </row>
    <row r="24" spans="1:2" ht="12.75">
      <c r="A24" s="336" t="s">
        <v>338</v>
      </c>
      <c r="B24" s="365">
        <f>SUM(B19:B23)</f>
        <v>12386357</v>
      </c>
    </row>
    <row r="25" spans="1:6" ht="12.75">
      <c r="A25" s="323"/>
      <c r="D25" s="362"/>
      <c r="E25"/>
      <c r="F25" s="363"/>
    </row>
    <row r="26" spans="1:6" ht="12.75">
      <c r="A26" s="364"/>
      <c r="B26" s="372"/>
      <c r="D26" s="362"/>
      <c r="E26"/>
      <c r="F26" s="363"/>
    </row>
    <row r="27" spans="1:6" ht="12.75">
      <c r="A27" s="337"/>
      <c r="B27" s="337"/>
      <c r="C27" s="337"/>
      <c r="D27" s="337"/>
      <c r="E27" s="337"/>
      <c r="F27" s="337"/>
    </row>
    <row r="28" spans="1:6" ht="6" customHeight="1" thickBot="1">
      <c r="A28" s="8"/>
      <c r="B28" s="9"/>
      <c r="D28" s="338"/>
      <c r="E28" s="338"/>
      <c r="F28" s="339"/>
    </row>
    <row r="29" spans="1:6" ht="14.25" thickBot="1" thickTop="1">
      <c r="A29" s="340" t="s">
        <v>349</v>
      </c>
      <c r="B29" s="341">
        <f>+B24</f>
        <v>12386357</v>
      </c>
      <c r="D29" s="338"/>
      <c r="E29" s="338"/>
      <c r="F29" s="339"/>
    </row>
    <row r="30" ht="6" customHeight="1" thickTop="1"/>
    <row r="31" ht="12.75" customHeight="1">
      <c r="A31" s="342"/>
    </row>
  </sheetData>
  <sheetProtection/>
  <mergeCells count="3">
    <mergeCell ref="A1:F1"/>
    <mergeCell ref="A2:F2"/>
    <mergeCell ref="A3:F3"/>
  </mergeCells>
  <printOptions horizontalCentered="1"/>
  <pageMargins left="0" right="0" top="1" bottom="0.5" header="0.5" footer="0.25"/>
  <pageSetup horizontalDpi="600" verticalDpi="600" orientation="portrait" scale="85" r:id="rId1"/>
  <headerFooter alignWithMargins="0">
    <oddFooter>&amp;C&amp;12- 2 -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8515625" style="429" customWidth="1"/>
    <col min="2" max="2" width="36.28125" style="432" customWidth="1"/>
    <col min="3" max="3" width="8.8515625" style="430" customWidth="1"/>
    <col min="4" max="8" width="11.57421875" style="431" customWidth="1"/>
    <col min="9" max="16384" width="9.140625" style="429" customWidth="1"/>
  </cols>
  <sheetData>
    <row r="1" spans="1:8" ht="16.5" thickBot="1">
      <c r="A1" s="812" t="s">
        <v>560</v>
      </c>
      <c r="B1" s="813"/>
      <c r="C1" s="814"/>
      <c r="D1" s="815"/>
      <c r="E1" s="815"/>
      <c r="F1" s="815"/>
      <c r="G1" s="815"/>
      <c r="H1" s="816" t="s">
        <v>561</v>
      </c>
    </row>
    <row r="2" spans="1:8" ht="12.75">
      <c r="A2" s="817" t="s">
        <v>416</v>
      </c>
      <c r="B2" s="444"/>
      <c r="C2" s="438"/>
      <c r="D2" s="763"/>
      <c r="E2" s="763"/>
      <c r="F2" s="763"/>
      <c r="G2" s="763"/>
      <c r="H2" s="818"/>
    </row>
    <row r="3" spans="1:8" ht="12.75">
      <c r="A3" s="819"/>
      <c r="B3" s="433"/>
      <c r="C3" s="434"/>
      <c r="D3" s="435" t="s">
        <v>389</v>
      </c>
      <c r="E3" s="435" t="s">
        <v>417</v>
      </c>
      <c r="F3" s="435" t="s">
        <v>418</v>
      </c>
      <c r="G3" s="435" t="s">
        <v>432</v>
      </c>
      <c r="H3" s="820" t="s">
        <v>562</v>
      </c>
    </row>
    <row r="4" spans="1:8" s="437" customFormat="1" ht="12.75">
      <c r="A4" s="821"/>
      <c r="B4" s="433" t="s">
        <v>419</v>
      </c>
      <c r="C4" s="434"/>
      <c r="D4" s="764">
        <v>10278171254</v>
      </c>
      <c r="E4" s="436">
        <v>10756867050</v>
      </c>
      <c r="F4" s="436">
        <v>11215877106</v>
      </c>
      <c r="G4" s="436">
        <v>11807815326</v>
      </c>
      <c r="H4" s="822">
        <v>11807815326</v>
      </c>
    </row>
    <row r="5" spans="1:8" s="437" customFormat="1" ht="12.75">
      <c r="A5" s="823" t="s">
        <v>428</v>
      </c>
      <c r="B5" s="444" t="s">
        <v>420</v>
      </c>
      <c r="C5" s="438"/>
      <c r="D5" s="439">
        <v>9721779445</v>
      </c>
      <c r="E5" s="439">
        <v>10050830110</v>
      </c>
      <c r="F5" s="439">
        <v>10406011174</v>
      </c>
      <c r="G5" s="439">
        <v>10688967098</v>
      </c>
      <c r="H5" s="824">
        <v>10688967098</v>
      </c>
    </row>
    <row r="6" spans="1:8" s="437" customFormat="1" ht="12.75">
      <c r="A6" s="823" t="s">
        <v>421</v>
      </c>
      <c r="B6" s="444" t="s">
        <v>422</v>
      </c>
      <c r="C6" s="438"/>
      <c r="D6" s="439">
        <v>1748807493</v>
      </c>
      <c r="E6" s="439">
        <v>1762010143</v>
      </c>
      <c r="F6" s="439">
        <v>1780626270</v>
      </c>
      <c r="G6" s="439">
        <v>1780626270</v>
      </c>
      <c r="H6" s="824">
        <v>1780626270</v>
      </c>
    </row>
    <row r="7" spans="1:8" s="437" customFormat="1" ht="12.75">
      <c r="A7" s="823" t="s">
        <v>423</v>
      </c>
      <c r="B7" s="444" t="s">
        <v>75</v>
      </c>
      <c r="C7" s="438"/>
      <c r="D7" s="439">
        <v>145717036</v>
      </c>
      <c r="E7" s="439">
        <v>133131325</v>
      </c>
      <c r="F7" s="439">
        <v>138181200</v>
      </c>
      <c r="G7" s="439">
        <v>139043700</v>
      </c>
      <c r="H7" s="824">
        <v>139043700</v>
      </c>
    </row>
    <row r="8" spans="1:8" s="437" customFormat="1" ht="12.75">
      <c r="A8" s="817"/>
      <c r="B8" s="442" t="s">
        <v>424</v>
      </c>
      <c r="C8" s="440"/>
      <c r="D8" s="441">
        <v>15233528</v>
      </c>
      <c r="E8" s="441">
        <v>9283612</v>
      </c>
      <c r="F8" s="441">
        <v>9284777</v>
      </c>
      <c r="G8" s="441">
        <v>9284777</v>
      </c>
      <c r="H8" s="825">
        <v>9284777</v>
      </c>
    </row>
    <row r="9" spans="1:8" ht="12.75">
      <c r="A9" s="819"/>
      <c r="B9" s="442" t="s">
        <v>425</v>
      </c>
      <c r="C9" s="440"/>
      <c r="D9" s="765">
        <f>SUM(D4:D8)</f>
        <v>21909708756</v>
      </c>
      <c r="E9" s="765">
        <f>SUM(E4:E8)</f>
        <v>22712122240</v>
      </c>
      <c r="F9" s="765">
        <f>SUM(F4:F8)</f>
        <v>23549980527</v>
      </c>
      <c r="G9" s="765">
        <f>SUM(G4:G8)</f>
        <v>24425737171</v>
      </c>
      <c r="H9" s="826">
        <f>SUM(H4:H8)</f>
        <v>24425737171</v>
      </c>
    </row>
    <row r="10" spans="1:8" ht="12.75" customHeight="1">
      <c r="A10" s="817"/>
      <c r="B10" s="444"/>
      <c r="C10" s="443" t="s">
        <v>426</v>
      </c>
      <c r="D10" s="439"/>
      <c r="E10" s="439"/>
      <c r="F10" s="439"/>
      <c r="G10" s="439"/>
      <c r="H10" s="824"/>
    </row>
    <row r="11" spans="1:8" ht="12" customHeight="1">
      <c r="A11" s="827" t="s">
        <v>563</v>
      </c>
      <c r="B11" s="444"/>
      <c r="C11" s="438"/>
      <c r="D11" s="445"/>
      <c r="E11" s="445"/>
      <c r="F11" s="445"/>
      <c r="G11" s="445"/>
      <c r="H11" s="828"/>
    </row>
    <row r="12" spans="1:8" ht="15" customHeight="1">
      <c r="A12" s="823"/>
      <c r="B12" s="766"/>
      <c r="C12" s="438"/>
      <c r="D12" s="450"/>
      <c r="E12" s="448"/>
      <c r="F12" s="448"/>
      <c r="G12" s="448"/>
      <c r="H12" s="829"/>
    </row>
    <row r="13" spans="1:8" ht="12.75" customHeight="1">
      <c r="A13" s="823"/>
      <c r="B13" s="437" t="s">
        <v>564</v>
      </c>
      <c r="C13" s="438" t="s">
        <v>296</v>
      </c>
      <c r="D13" s="450">
        <v>999508.8</v>
      </c>
      <c r="E13" s="448">
        <v>999508.8</v>
      </c>
      <c r="F13" s="448">
        <v>999508.8</v>
      </c>
      <c r="G13" s="448">
        <v>999508.8</v>
      </c>
      <c r="H13" s="829">
        <v>999508.8</v>
      </c>
    </row>
    <row r="14" spans="1:8" ht="15" customHeight="1">
      <c r="A14" s="827"/>
      <c r="B14" s="766" t="s">
        <v>565</v>
      </c>
      <c r="C14" s="438" t="s">
        <v>296</v>
      </c>
      <c r="D14" s="450">
        <v>-325000</v>
      </c>
      <c r="E14" s="452">
        <v>-325000</v>
      </c>
      <c r="F14" s="452">
        <v>-325000</v>
      </c>
      <c r="G14" s="452">
        <v>-325000</v>
      </c>
      <c r="H14" s="830">
        <v>-325000</v>
      </c>
    </row>
    <row r="15" spans="1:8" ht="15" customHeight="1">
      <c r="A15" s="827"/>
      <c r="B15" s="766" t="s">
        <v>566</v>
      </c>
      <c r="C15" s="438" t="s">
        <v>296</v>
      </c>
      <c r="D15" s="450">
        <v>-235840</v>
      </c>
      <c r="E15" s="452">
        <v>-58960</v>
      </c>
      <c r="F15" s="452">
        <v>0</v>
      </c>
      <c r="G15" s="452">
        <v>0</v>
      </c>
      <c r="H15" s="830">
        <v>0</v>
      </c>
    </row>
    <row r="16" spans="1:8" ht="12" customHeight="1">
      <c r="A16" s="827"/>
      <c r="B16" s="766" t="s">
        <v>567</v>
      </c>
      <c r="C16" s="438" t="s">
        <v>296</v>
      </c>
      <c r="D16" s="450">
        <v>0</v>
      </c>
      <c r="E16" s="448">
        <v>0</v>
      </c>
      <c r="F16" s="448">
        <v>0</v>
      </c>
      <c r="G16" s="448">
        <v>0</v>
      </c>
      <c r="H16" s="829">
        <v>12773289.56428977</v>
      </c>
    </row>
    <row r="17" spans="1:8" ht="12" customHeight="1">
      <c r="A17" s="827"/>
      <c r="B17" s="766" t="s">
        <v>568</v>
      </c>
      <c r="C17" s="438" t="s">
        <v>296</v>
      </c>
      <c r="D17" s="450">
        <v>0</v>
      </c>
      <c r="E17" s="448">
        <v>0</v>
      </c>
      <c r="F17" s="448">
        <v>0</v>
      </c>
      <c r="G17" s="448">
        <v>0</v>
      </c>
      <c r="H17" s="829">
        <v>11835344.362294585</v>
      </c>
    </row>
    <row r="18" spans="1:8" ht="12" customHeight="1">
      <c r="A18" s="827"/>
      <c r="B18" s="766" t="s">
        <v>569</v>
      </c>
      <c r="C18" s="438" t="s">
        <v>296</v>
      </c>
      <c r="D18" s="450">
        <v>0</v>
      </c>
      <c r="E18" s="448">
        <v>0</v>
      </c>
      <c r="F18" s="448">
        <v>0</v>
      </c>
      <c r="G18" s="448">
        <v>0</v>
      </c>
      <c r="H18" s="829">
        <v>284000000</v>
      </c>
    </row>
    <row r="19" spans="1:8" ht="12" customHeight="1">
      <c r="A19" s="827"/>
      <c r="B19" s="766" t="s">
        <v>570</v>
      </c>
      <c r="C19" s="438" t="s">
        <v>296</v>
      </c>
      <c r="D19" s="450">
        <v>32917</v>
      </c>
      <c r="E19" s="448">
        <v>40134</v>
      </c>
      <c r="F19" s="448">
        <v>50315</v>
      </c>
      <c r="G19" s="448">
        <v>50315</v>
      </c>
      <c r="H19" s="829">
        <v>50315</v>
      </c>
    </row>
    <row r="20" spans="1:8" ht="12" customHeight="1">
      <c r="A20" s="827"/>
      <c r="B20" s="766" t="s">
        <v>571</v>
      </c>
      <c r="C20" s="438" t="s">
        <v>296</v>
      </c>
      <c r="D20" s="450">
        <v>284912</v>
      </c>
      <c r="E20" s="448">
        <v>353354</v>
      </c>
      <c r="F20" s="448">
        <v>405178</v>
      </c>
      <c r="G20" s="448">
        <v>405178</v>
      </c>
      <c r="H20" s="829">
        <v>405178</v>
      </c>
    </row>
    <row r="21" spans="1:8" ht="12.75" customHeight="1">
      <c r="A21" s="827"/>
      <c r="B21" s="766" t="s">
        <v>572</v>
      </c>
      <c r="C21" s="438" t="s">
        <v>296</v>
      </c>
      <c r="D21" s="450">
        <v>1196319</v>
      </c>
      <c r="E21" s="450">
        <v>1196319</v>
      </c>
      <c r="F21" s="450">
        <v>1196319</v>
      </c>
      <c r="G21" s="450">
        <v>1196319</v>
      </c>
      <c r="H21" s="829">
        <v>1196319</v>
      </c>
    </row>
    <row r="22" spans="1:8" ht="12.75" customHeight="1">
      <c r="A22" s="827"/>
      <c r="B22" s="766" t="s">
        <v>573</v>
      </c>
      <c r="C22" s="438" t="s">
        <v>296</v>
      </c>
      <c r="D22" s="450">
        <v>9329</v>
      </c>
      <c r="E22" s="448">
        <v>10730</v>
      </c>
      <c r="F22" s="448">
        <v>12898</v>
      </c>
      <c r="G22" s="448">
        <v>12898</v>
      </c>
      <c r="H22" s="829">
        <v>12898</v>
      </c>
    </row>
    <row r="23" spans="1:8" ht="15" customHeight="1">
      <c r="A23" s="827"/>
      <c r="B23" s="766" t="s">
        <v>574</v>
      </c>
      <c r="C23" s="438" t="s">
        <v>575</v>
      </c>
      <c r="D23" s="450">
        <v>21494585</v>
      </c>
      <c r="E23" s="448">
        <v>0</v>
      </c>
      <c r="F23" s="448">
        <v>0</v>
      </c>
      <c r="G23" s="448">
        <v>0</v>
      </c>
      <c r="H23" s="829">
        <v>0</v>
      </c>
    </row>
    <row r="24" spans="1:8" ht="15" customHeight="1">
      <c r="A24" s="827"/>
      <c r="B24" s="766" t="s">
        <v>576</v>
      </c>
      <c r="C24" s="438" t="s">
        <v>296</v>
      </c>
      <c r="D24" s="450">
        <v>-52977</v>
      </c>
      <c r="E24" s="448">
        <v>-14023</v>
      </c>
      <c r="F24" s="448"/>
      <c r="G24" s="448"/>
      <c r="H24" s="829"/>
    </row>
    <row r="25" spans="1:8" ht="15" customHeight="1">
      <c r="A25" s="827"/>
      <c r="B25" s="766"/>
      <c r="C25" s="438"/>
      <c r="D25" s="450"/>
      <c r="E25" s="449"/>
      <c r="F25" s="449"/>
      <c r="G25" s="449"/>
      <c r="H25" s="829"/>
    </row>
    <row r="26" spans="1:8" ht="12.75" customHeight="1">
      <c r="A26" s="819" t="s">
        <v>427</v>
      </c>
      <c r="B26" s="446"/>
      <c r="C26" s="447"/>
      <c r="D26" s="767">
        <f>SUM(D12:D24)</f>
        <v>23403753.8</v>
      </c>
      <c r="E26" s="767">
        <f>SUM(E12:E24)</f>
        <v>2202062.8</v>
      </c>
      <c r="F26" s="767">
        <f>SUM(F12:F23)</f>
        <v>2339218.8</v>
      </c>
      <c r="G26" s="767">
        <f>SUM(G12:G23)</f>
        <v>2339218.8</v>
      </c>
      <c r="H26" s="831">
        <f>SUM(H12:H23)</f>
        <v>310947852.7265844</v>
      </c>
    </row>
    <row r="27" spans="1:8" ht="12.75">
      <c r="A27" s="817"/>
      <c r="B27" s="444"/>
      <c r="C27" s="438"/>
      <c r="D27" s="448"/>
      <c r="E27" s="448"/>
      <c r="F27" s="448"/>
      <c r="G27" s="448"/>
      <c r="H27" s="829"/>
    </row>
    <row r="28" spans="1:8" ht="12.75">
      <c r="A28" s="823" t="s">
        <v>577</v>
      </c>
      <c r="B28" s="444"/>
      <c r="C28" s="438"/>
      <c r="D28" s="768"/>
      <c r="E28" s="769"/>
      <c r="F28" s="768"/>
      <c r="G28" s="768"/>
      <c r="H28" s="832"/>
    </row>
    <row r="29" spans="1:8" ht="12.75">
      <c r="A29" s="823"/>
      <c r="B29" s="437" t="s">
        <v>578</v>
      </c>
      <c r="C29" s="438" t="s">
        <v>296</v>
      </c>
      <c r="D29" s="452">
        <v>-35000</v>
      </c>
      <c r="E29" s="448"/>
      <c r="F29" s="448"/>
      <c r="G29" s="448"/>
      <c r="H29" s="829"/>
    </row>
    <row r="30" spans="1:8" ht="12.75">
      <c r="A30" s="823"/>
      <c r="B30" s="437"/>
      <c r="C30" s="438"/>
      <c r="D30" s="452"/>
      <c r="E30" s="452"/>
      <c r="F30" s="452"/>
      <c r="G30" s="448"/>
      <c r="H30" s="829"/>
    </row>
    <row r="31" spans="1:8" ht="12.75">
      <c r="A31" s="819" t="s">
        <v>427</v>
      </c>
      <c r="B31" s="446"/>
      <c r="C31" s="447"/>
      <c r="D31" s="767">
        <f>SUM(D29:D29)</f>
        <v>-35000</v>
      </c>
      <c r="E31" s="767">
        <f>SUM(E29:E29)</f>
        <v>0</v>
      </c>
      <c r="F31" s="767">
        <f>SUM(F29:F29)</f>
        <v>0</v>
      </c>
      <c r="G31" s="767">
        <f>SUM(G29:G29)</f>
        <v>0</v>
      </c>
      <c r="H31" s="831">
        <f>SUM(H29:H29)</f>
        <v>0</v>
      </c>
    </row>
    <row r="32" spans="1:8" ht="12.75">
      <c r="A32" s="817"/>
      <c r="B32" s="444"/>
      <c r="C32" s="438"/>
      <c r="D32" s="448"/>
      <c r="E32" s="448"/>
      <c r="F32" s="448"/>
      <c r="G32" s="448"/>
      <c r="H32" s="829"/>
    </row>
    <row r="33" spans="1:8" s="451" customFormat="1" ht="15" customHeight="1" thickBot="1">
      <c r="A33" s="833"/>
      <c r="B33" s="770"/>
      <c r="C33" s="771"/>
      <c r="D33" s="772"/>
      <c r="E33" s="772"/>
      <c r="F33" s="772"/>
      <c r="G33" s="772"/>
      <c r="H33" s="834"/>
    </row>
    <row r="34" spans="1:8" s="455" customFormat="1" ht="12.75">
      <c r="A34" s="835"/>
      <c r="B34" s="773" t="s">
        <v>419</v>
      </c>
      <c r="C34" s="453"/>
      <c r="D34" s="454">
        <f aca="true" t="shared" si="0" ref="D34:H38">SUMIF($C$10:$C$33,$B34,D$10:D$33)</f>
        <v>1874168.8</v>
      </c>
      <c r="E34" s="454">
        <f t="shared" si="0"/>
        <v>2202062.8</v>
      </c>
      <c r="F34" s="454">
        <f t="shared" si="0"/>
        <v>2339218.8</v>
      </c>
      <c r="G34" s="454">
        <f t="shared" si="0"/>
        <v>2339218.8</v>
      </c>
      <c r="H34" s="836">
        <f t="shared" si="0"/>
        <v>310947852.7265844</v>
      </c>
    </row>
    <row r="35" spans="1:8" s="455" customFormat="1" ht="12.75">
      <c r="A35" s="823" t="s">
        <v>433</v>
      </c>
      <c r="B35" s="444" t="s">
        <v>420</v>
      </c>
      <c r="C35" s="456"/>
      <c r="D35" s="457">
        <f t="shared" si="0"/>
        <v>0</v>
      </c>
      <c r="E35" s="457">
        <f t="shared" si="0"/>
        <v>0</v>
      </c>
      <c r="F35" s="457">
        <f t="shared" si="0"/>
        <v>0</v>
      </c>
      <c r="G35" s="457">
        <f t="shared" si="0"/>
        <v>0</v>
      </c>
      <c r="H35" s="837">
        <f t="shared" si="0"/>
        <v>0</v>
      </c>
    </row>
    <row r="36" spans="1:8" ht="12.75">
      <c r="A36" s="823" t="s">
        <v>429</v>
      </c>
      <c r="B36" s="444" t="s">
        <v>422</v>
      </c>
      <c r="C36" s="456"/>
      <c r="D36" s="457">
        <f t="shared" si="0"/>
        <v>0</v>
      </c>
      <c r="E36" s="457">
        <f t="shared" si="0"/>
        <v>0</v>
      </c>
      <c r="F36" s="457">
        <f t="shared" si="0"/>
        <v>0</v>
      </c>
      <c r="G36" s="457">
        <f t="shared" si="0"/>
        <v>0</v>
      </c>
      <c r="H36" s="837">
        <f t="shared" si="0"/>
        <v>0</v>
      </c>
    </row>
    <row r="37" spans="1:8" s="432" customFormat="1" ht="12.75">
      <c r="A37" s="823" t="s">
        <v>430</v>
      </c>
      <c r="B37" s="444" t="s">
        <v>431</v>
      </c>
      <c r="C37" s="456"/>
      <c r="D37" s="457">
        <f t="shared" si="0"/>
        <v>0</v>
      </c>
      <c r="E37" s="457">
        <f t="shared" si="0"/>
        <v>0</v>
      </c>
      <c r="F37" s="457">
        <f t="shared" si="0"/>
        <v>0</v>
      </c>
      <c r="G37" s="457">
        <f t="shared" si="0"/>
        <v>0</v>
      </c>
      <c r="H37" s="837">
        <f t="shared" si="0"/>
        <v>0</v>
      </c>
    </row>
    <row r="38" spans="1:8" ht="12.75">
      <c r="A38" s="817"/>
      <c r="B38" s="442" t="s">
        <v>424</v>
      </c>
      <c r="C38" s="459"/>
      <c r="D38" s="460">
        <f t="shared" si="0"/>
        <v>21494585</v>
      </c>
      <c r="E38" s="460">
        <f t="shared" si="0"/>
        <v>0</v>
      </c>
      <c r="F38" s="460">
        <f t="shared" si="0"/>
        <v>0</v>
      </c>
      <c r="G38" s="460">
        <f t="shared" si="0"/>
        <v>0</v>
      </c>
      <c r="H38" s="838">
        <f t="shared" si="0"/>
        <v>0</v>
      </c>
    </row>
    <row r="39" spans="1:8" ht="12.75">
      <c r="A39" s="823"/>
      <c r="B39" s="444" t="s">
        <v>425</v>
      </c>
      <c r="C39" s="458"/>
      <c r="D39" s="774">
        <f>SUM(D34:D38)</f>
        <v>23368753.8</v>
      </c>
      <c r="E39" s="774">
        <f>SUM(E34:E38)</f>
        <v>2202062.8</v>
      </c>
      <c r="F39" s="774">
        <f>SUM(F34:F38)</f>
        <v>2339218.8</v>
      </c>
      <c r="G39" s="774">
        <f>SUM(G34:G38)</f>
        <v>2339218.8</v>
      </c>
      <c r="H39" s="839">
        <f>SUM(H34:H38)</f>
        <v>310947852.7265844</v>
      </c>
    </row>
    <row r="40" spans="1:8" ht="7.5" customHeight="1">
      <c r="A40" s="819"/>
      <c r="B40" s="446"/>
      <c r="C40" s="447"/>
      <c r="D40" s="775"/>
      <c r="E40" s="775"/>
      <c r="F40" s="775"/>
      <c r="G40" s="775"/>
      <c r="H40" s="840"/>
    </row>
    <row r="41" spans="1:8" ht="12.75">
      <c r="A41" s="819"/>
      <c r="B41" s="446"/>
      <c r="C41" s="447"/>
      <c r="D41" s="435" t="s">
        <v>389</v>
      </c>
      <c r="E41" s="435" t="s">
        <v>417</v>
      </c>
      <c r="F41" s="435" t="s">
        <v>418</v>
      </c>
      <c r="G41" s="435" t="s">
        <v>432</v>
      </c>
      <c r="H41" s="820" t="s">
        <v>562</v>
      </c>
    </row>
    <row r="42" spans="1:8" ht="12.75">
      <c r="A42" s="821"/>
      <c r="B42" s="433" t="s">
        <v>419</v>
      </c>
      <c r="C42" s="434"/>
      <c r="D42" s="463">
        <f aca="true" t="shared" si="1" ref="D42:H46">D4+D34</f>
        <v>10280045422.8</v>
      </c>
      <c r="E42" s="463">
        <f t="shared" si="1"/>
        <v>10759069112.8</v>
      </c>
      <c r="F42" s="463">
        <f t="shared" si="1"/>
        <v>11218216324.8</v>
      </c>
      <c r="G42" s="463">
        <f t="shared" si="1"/>
        <v>11810154544.8</v>
      </c>
      <c r="H42" s="841">
        <f t="shared" si="1"/>
        <v>12118763178.726583</v>
      </c>
    </row>
    <row r="43" spans="1:8" ht="12.75">
      <c r="A43" s="823" t="s">
        <v>433</v>
      </c>
      <c r="B43" s="444" t="s">
        <v>420</v>
      </c>
      <c r="C43" s="438"/>
      <c r="D43" s="464">
        <f t="shared" si="1"/>
        <v>9721779445</v>
      </c>
      <c r="E43" s="464">
        <f t="shared" si="1"/>
        <v>10050830110</v>
      </c>
      <c r="F43" s="464">
        <f t="shared" si="1"/>
        <v>10406011174</v>
      </c>
      <c r="G43" s="464">
        <f t="shared" si="1"/>
        <v>10688967098</v>
      </c>
      <c r="H43" s="842">
        <f t="shared" si="1"/>
        <v>10688967098</v>
      </c>
    </row>
    <row r="44" spans="1:8" ht="12.75">
      <c r="A44" s="823" t="s">
        <v>429</v>
      </c>
      <c r="B44" s="444" t="s">
        <v>422</v>
      </c>
      <c r="C44" s="438"/>
      <c r="D44" s="465">
        <f t="shared" si="1"/>
        <v>1748807493</v>
      </c>
      <c r="E44" s="465">
        <f t="shared" si="1"/>
        <v>1762010143</v>
      </c>
      <c r="F44" s="465">
        <f t="shared" si="1"/>
        <v>1780626270</v>
      </c>
      <c r="G44" s="465">
        <f t="shared" si="1"/>
        <v>1780626270</v>
      </c>
      <c r="H44" s="843">
        <f t="shared" si="1"/>
        <v>1780626270</v>
      </c>
    </row>
    <row r="45" spans="1:8" s="432" customFormat="1" ht="12.75">
      <c r="A45" s="823" t="s">
        <v>423</v>
      </c>
      <c r="B45" s="444" t="s">
        <v>75</v>
      </c>
      <c r="C45" s="438"/>
      <c r="D45" s="464">
        <f t="shared" si="1"/>
        <v>145717036</v>
      </c>
      <c r="E45" s="464">
        <f t="shared" si="1"/>
        <v>133131325</v>
      </c>
      <c r="F45" s="464">
        <f t="shared" si="1"/>
        <v>138181200</v>
      </c>
      <c r="G45" s="464">
        <f t="shared" si="1"/>
        <v>139043700</v>
      </c>
      <c r="H45" s="842">
        <f t="shared" si="1"/>
        <v>139043700</v>
      </c>
    </row>
    <row r="46" spans="1:8" ht="12.75">
      <c r="A46" s="817"/>
      <c r="B46" s="442" t="s">
        <v>424</v>
      </c>
      <c r="C46" s="440"/>
      <c r="D46" s="466">
        <f t="shared" si="1"/>
        <v>36728113</v>
      </c>
      <c r="E46" s="466">
        <f t="shared" si="1"/>
        <v>9283612</v>
      </c>
      <c r="F46" s="466">
        <f t="shared" si="1"/>
        <v>9284777</v>
      </c>
      <c r="G46" s="466">
        <f t="shared" si="1"/>
        <v>9284777</v>
      </c>
      <c r="H46" s="844">
        <f t="shared" si="1"/>
        <v>9284777</v>
      </c>
    </row>
    <row r="47" spans="1:8" ht="13.5" thickBot="1">
      <c r="A47" s="845"/>
      <c r="B47" s="776" t="s">
        <v>425</v>
      </c>
      <c r="C47" s="777"/>
      <c r="D47" s="778">
        <f>SUM(D42:D46)</f>
        <v>21933077509.8</v>
      </c>
      <c r="E47" s="778">
        <f>SUM(E42:E46)</f>
        <v>22714324302.8</v>
      </c>
      <c r="F47" s="778">
        <f>SUM(F42:F46)</f>
        <v>23552319745.8</v>
      </c>
      <c r="G47" s="778">
        <f>SUM(G42:G46)</f>
        <v>24428076389.8</v>
      </c>
      <c r="H47" s="846">
        <f>SUM(H42:H46)</f>
        <v>24736685023.726585</v>
      </c>
    </row>
    <row r="48" spans="1:8" ht="7.5" customHeight="1" thickBot="1">
      <c r="A48" s="817"/>
      <c r="B48" s="444"/>
      <c r="C48" s="438"/>
      <c r="D48" s="448"/>
      <c r="E48" s="448"/>
      <c r="F48" s="448"/>
      <c r="G48" s="448"/>
      <c r="H48" s="829"/>
    </row>
    <row r="49" spans="1:8" ht="12.75">
      <c r="A49" s="835"/>
      <c r="B49" s="773" t="s">
        <v>419</v>
      </c>
      <c r="C49" s="453"/>
      <c r="D49" s="779"/>
      <c r="E49" s="779">
        <f>E42-D42</f>
        <v>479023690</v>
      </c>
      <c r="F49" s="779">
        <f>F42-E42</f>
        <v>459147212</v>
      </c>
      <c r="G49" s="779">
        <f>G42-F42</f>
        <v>591938220</v>
      </c>
      <c r="H49" s="847">
        <f>H42-G42</f>
        <v>308608633.92658424</v>
      </c>
    </row>
    <row r="50" spans="1:8" ht="12.75">
      <c r="A50" s="823" t="s">
        <v>579</v>
      </c>
      <c r="B50" s="444" t="s">
        <v>420</v>
      </c>
      <c r="C50" s="456"/>
      <c r="D50" s="439"/>
      <c r="E50" s="439">
        <f aca="true" t="shared" si="2" ref="E50:H53">E43-D43</f>
        <v>329050665</v>
      </c>
      <c r="F50" s="439">
        <f t="shared" si="2"/>
        <v>355181064</v>
      </c>
      <c r="G50" s="439">
        <f t="shared" si="2"/>
        <v>282955924</v>
      </c>
      <c r="H50" s="824">
        <f t="shared" si="2"/>
        <v>0</v>
      </c>
    </row>
    <row r="51" spans="1:8" ht="12.75">
      <c r="A51" s="823" t="s">
        <v>580</v>
      </c>
      <c r="B51" s="444" t="s">
        <v>422</v>
      </c>
      <c r="C51" s="458"/>
      <c r="D51" s="439"/>
      <c r="E51" s="439">
        <f t="shared" si="2"/>
        <v>13202650</v>
      </c>
      <c r="F51" s="439">
        <f t="shared" si="2"/>
        <v>18616127</v>
      </c>
      <c r="G51" s="439">
        <f t="shared" si="2"/>
        <v>0</v>
      </c>
      <c r="H51" s="824">
        <f t="shared" si="2"/>
        <v>0</v>
      </c>
    </row>
    <row r="52" spans="1:8" ht="12.75">
      <c r="A52" s="823" t="s">
        <v>579</v>
      </c>
      <c r="B52" s="444" t="s">
        <v>75</v>
      </c>
      <c r="C52" s="458"/>
      <c r="D52" s="439"/>
      <c r="E52" s="439">
        <f t="shared" si="2"/>
        <v>-12585711</v>
      </c>
      <c r="F52" s="439">
        <f t="shared" si="2"/>
        <v>5049875</v>
      </c>
      <c r="G52" s="439">
        <f t="shared" si="2"/>
        <v>862500</v>
      </c>
      <c r="H52" s="824">
        <f t="shared" si="2"/>
        <v>0</v>
      </c>
    </row>
    <row r="53" spans="1:8" ht="12.75">
      <c r="A53" s="817"/>
      <c r="B53" s="442" t="s">
        <v>424</v>
      </c>
      <c r="C53" s="459"/>
      <c r="D53" s="441"/>
      <c r="E53" s="441">
        <f t="shared" si="2"/>
        <v>-27444501</v>
      </c>
      <c r="F53" s="441">
        <f>F46-E46</f>
        <v>1165</v>
      </c>
      <c r="G53" s="441">
        <f t="shared" si="2"/>
        <v>0</v>
      </c>
      <c r="H53" s="825">
        <f t="shared" si="2"/>
        <v>0</v>
      </c>
    </row>
    <row r="54" spans="1:8" ht="13.5" thickBot="1">
      <c r="A54" s="848"/>
      <c r="B54" s="461" t="s">
        <v>425</v>
      </c>
      <c r="C54" s="462"/>
      <c r="D54" s="780">
        <f>SUM(D49:D53)</f>
        <v>0</v>
      </c>
      <c r="E54" s="780">
        <f>SUM(E49:E53)</f>
        <v>781246793</v>
      </c>
      <c r="F54" s="780">
        <f>SUM(F49:F53)</f>
        <v>837995443</v>
      </c>
      <c r="G54" s="780">
        <f>SUM(G49:G53)</f>
        <v>875756644</v>
      </c>
      <c r="H54" s="849">
        <f>SUM(H49:H53)</f>
        <v>308608633.92658424</v>
      </c>
    </row>
    <row r="55" spans="1:8" ht="7.5" customHeight="1" thickBot="1">
      <c r="A55" s="850"/>
      <c r="B55" s="851"/>
      <c r="C55" s="852"/>
      <c r="D55" s="853"/>
      <c r="E55" s="853"/>
      <c r="F55" s="853"/>
      <c r="G55" s="853"/>
      <c r="H55" s="854"/>
    </row>
    <row r="56" spans="1:8" ht="12.75">
      <c r="A56" s="437"/>
      <c r="B56" s="444"/>
      <c r="C56" s="456"/>
      <c r="D56" s="439"/>
      <c r="E56" s="439"/>
      <c r="F56" s="439"/>
      <c r="G56" s="439"/>
      <c r="H56" s="439"/>
    </row>
  </sheetData>
  <sheetProtection/>
  <printOptions horizontalCentered="1"/>
  <pageMargins left="0" right="0" top="0.75" bottom="0.75" header="0" footer="0.25"/>
  <pageSetup horizontalDpi="600" verticalDpi="600" orientation="portrait" scale="88" r:id="rId1"/>
  <headerFooter>
    <oddFooter>&amp;C&amp;12- 3 -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F5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10.57421875" style="0" customWidth="1"/>
    <col min="2" max="2" width="59.140625" style="0" customWidth="1"/>
    <col min="3" max="4" width="14.421875" style="96" customWidth="1"/>
    <col min="5" max="5" width="12.7109375" style="96" customWidth="1"/>
    <col min="6" max="6" width="14.421875" style="96" customWidth="1"/>
  </cols>
  <sheetData>
    <row r="1" spans="1:6" ht="18">
      <c r="A1" s="871" t="s">
        <v>244</v>
      </c>
      <c r="B1" s="871"/>
      <c r="C1" s="871"/>
      <c r="D1" s="871"/>
      <c r="E1" s="871"/>
      <c r="F1" s="871"/>
    </row>
    <row r="2" spans="1:6" ht="18">
      <c r="A2" s="872" t="s">
        <v>58</v>
      </c>
      <c r="B2" s="872"/>
      <c r="C2" s="872"/>
      <c r="D2" s="872"/>
      <c r="E2" s="872"/>
      <c r="F2" s="872"/>
    </row>
    <row r="3" spans="1:6" ht="15">
      <c r="A3" s="873" t="s">
        <v>558</v>
      </c>
      <c r="B3" s="873"/>
      <c r="C3" s="873"/>
      <c r="D3" s="873"/>
      <c r="E3" s="873"/>
      <c r="F3" s="873"/>
    </row>
    <row r="4" spans="1:6" ht="12.75">
      <c r="A4" s="874" t="s">
        <v>12</v>
      </c>
      <c r="B4" s="874"/>
      <c r="C4" s="874"/>
      <c r="D4" s="874"/>
      <c r="E4" s="874"/>
      <c r="F4" s="874"/>
    </row>
    <row r="5" spans="1:6" ht="12.75">
      <c r="A5" s="36"/>
      <c r="B5" s="36"/>
      <c r="C5" s="36"/>
      <c r="D5" s="36"/>
      <c r="E5" s="36"/>
      <c r="F5" s="36"/>
    </row>
    <row r="6" spans="1:6" ht="6" customHeight="1">
      <c r="A6" s="37"/>
      <c r="B6" s="38"/>
      <c r="C6" s="92"/>
      <c r="D6" s="92"/>
      <c r="E6" s="93"/>
      <c r="F6" s="93"/>
    </row>
    <row r="7" spans="3:6" ht="12.75">
      <c r="C7" s="60" t="s">
        <v>390</v>
      </c>
      <c r="D7" s="60" t="s">
        <v>434</v>
      </c>
      <c r="F7" s="60" t="s">
        <v>357</v>
      </c>
    </row>
    <row r="8" spans="1:6" ht="12.75">
      <c r="A8" s="39" t="s">
        <v>13</v>
      </c>
      <c r="B8" s="57"/>
      <c r="C8" s="60" t="s">
        <v>2</v>
      </c>
      <c r="D8" s="60" t="s">
        <v>13</v>
      </c>
      <c r="E8" s="60" t="s">
        <v>245</v>
      </c>
      <c r="F8" s="60" t="s">
        <v>13</v>
      </c>
    </row>
    <row r="9" spans="1:6" ht="12.75">
      <c r="A9" s="39" t="s">
        <v>14</v>
      </c>
      <c r="B9" s="58" t="s">
        <v>15</v>
      </c>
      <c r="C9" s="60" t="s">
        <v>5</v>
      </c>
      <c r="D9" s="60" t="s">
        <v>306</v>
      </c>
      <c r="E9" s="60" t="s">
        <v>6</v>
      </c>
      <c r="F9" s="60" t="s">
        <v>16</v>
      </c>
    </row>
    <row r="10" spans="1:6" ht="6" customHeight="1">
      <c r="A10" s="40"/>
      <c r="B10" s="61"/>
      <c r="C10" s="94"/>
      <c r="D10" s="94"/>
      <c r="E10" s="95"/>
      <c r="F10" s="95"/>
    </row>
    <row r="11" spans="1:6" ht="12.75">
      <c r="A11" s="41"/>
      <c r="B11" s="42"/>
      <c r="C11" s="85"/>
      <c r="D11" s="85"/>
      <c r="E11" s="71"/>
      <c r="F11" s="71"/>
    </row>
    <row r="12" spans="1:2" ht="12.75">
      <c r="A12" s="62" t="s">
        <v>17</v>
      </c>
      <c r="B12" s="43"/>
    </row>
    <row r="13" spans="1:6" ht="12.75">
      <c r="A13" s="63" t="s">
        <v>18</v>
      </c>
      <c r="B13" s="33"/>
      <c r="F13" s="309"/>
    </row>
    <row r="14" spans="1:6" ht="12.75">
      <c r="A14" s="407">
        <v>29358</v>
      </c>
      <c r="B14" s="408" t="s">
        <v>310</v>
      </c>
      <c r="C14" s="392">
        <f>6670257319/1000</f>
        <v>6670257.319</v>
      </c>
      <c r="D14" s="392">
        <v>6670257.319</v>
      </c>
      <c r="E14" s="392">
        <v>0</v>
      </c>
      <c r="F14" s="392">
        <f>D14+E14</f>
        <v>6670257.319</v>
      </c>
    </row>
    <row r="15" spans="1:6" ht="12.75">
      <c r="A15" s="407">
        <v>29359</v>
      </c>
      <c r="B15" s="408" t="s">
        <v>311</v>
      </c>
      <c r="C15" s="69">
        <f>1200000/1000</f>
        <v>1200</v>
      </c>
      <c r="D15" s="69">
        <v>1200</v>
      </c>
      <c r="E15" s="69">
        <v>0</v>
      </c>
      <c r="F15" s="69">
        <f aca="true" t="shared" si="0" ref="F15:F24">D15+E15</f>
        <v>1200</v>
      </c>
    </row>
    <row r="16" spans="1:6" ht="12.75">
      <c r="A16" s="407">
        <v>27920</v>
      </c>
      <c r="B16" s="408" t="s">
        <v>293</v>
      </c>
      <c r="C16" s="69">
        <f>(6344209+2500000)/1000</f>
        <v>8844.209</v>
      </c>
      <c r="D16" s="69">
        <v>8844.209</v>
      </c>
      <c r="E16" s="69">
        <v>0</v>
      </c>
      <c r="F16" s="69">
        <f t="shared" si="0"/>
        <v>8844.209</v>
      </c>
    </row>
    <row r="17" spans="1:6" ht="12.75">
      <c r="A17" s="407">
        <v>27921</v>
      </c>
      <c r="B17" s="408" t="s">
        <v>19</v>
      </c>
      <c r="C17" s="69">
        <f>523737567/1000</f>
        <v>523737.567</v>
      </c>
      <c r="D17" s="69">
        <v>523737.567</v>
      </c>
      <c r="E17" s="69">
        <v>0</v>
      </c>
      <c r="F17" s="69">
        <f t="shared" si="0"/>
        <v>523737.567</v>
      </c>
    </row>
    <row r="18" spans="1:6" ht="12.75">
      <c r="A18" s="407">
        <v>27923</v>
      </c>
      <c r="B18" s="408" t="s">
        <v>20</v>
      </c>
      <c r="C18" s="69">
        <f>176105120/1000</f>
        <v>176105.12</v>
      </c>
      <c r="D18" s="69">
        <v>176105.12</v>
      </c>
      <c r="E18" s="69">
        <v>0</v>
      </c>
      <c r="F18" s="69">
        <f t="shared" si="0"/>
        <v>176105.12</v>
      </c>
    </row>
    <row r="19" spans="1:6" ht="12.75">
      <c r="A19" s="407">
        <v>27924</v>
      </c>
      <c r="B19" s="408" t="s">
        <v>21</v>
      </c>
      <c r="C19" s="69">
        <f>95294483/1000</f>
        <v>95294.483</v>
      </c>
      <c r="D19" s="69">
        <v>95294.483</v>
      </c>
      <c r="E19" s="69">
        <v>0</v>
      </c>
      <c r="F19" s="69">
        <f t="shared" si="0"/>
        <v>95294.483</v>
      </c>
    </row>
    <row r="20" spans="1:6" ht="12.75">
      <c r="A20" s="407">
        <v>29253</v>
      </c>
      <c r="B20" s="408" t="s">
        <v>22</v>
      </c>
      <c r="C20" s="69">
        <f>30252101/1000</f>
        <v>30252.101</v>
      </c>
      <c r="D20" s="69">
        <v>30252.101</v>
      </c>
      <c r="E20" s="69">
        <v>0</v>
      </c>
      <c r="F20" s="69">
        <f t="shared" si="0"/>
        <v>30252.101</v>
      </c>
    </row>
    <row r="21" spans="1:6" ht="12.75">
      <c r="A21" s="407">
        <v>29290</v>
      </c>
      <c r="B21" s="408" t="s">
        <v>23</v>
      </c>
      <c r="C21" s="69">
        <f>238484177/1000</f>
        <v>238484.177</v>
      </c>
      <c r="D21" s="69">
        <v>238484.177</v>
      </c>
      <c r="E21" s="69">
        <v>0</v>
      </c>
      <c r="F21" s="69">
        <f t="shared" si="0"/>
        <v>238484.177</v>
      </c>
    </row>
    <row r="22" spans="1:6" ht="12.75">
      <c r="A22" s="407">
        <v>29605</v>
      </c>
      <c r="B22" s="408" t="s">
        <v>24</v>
      </c>
      <c r="C22" s="69">
        <f>435476767/1000</f>
        <v>435476.767</v>
      </c>
      <c r="D22" s="69">
        <v>435476.767</v>
      </c>
      <c r="E22" s="69">
        <v>0</v>
      </c>
      <c r="F22" s="69">
        <f t="shared" si="0"/>
        <v>435476.767</v>
      </c>
    </row>
    <row r="23" spans="1:6" ht="12.75">
      <c r="A23" s="407">
        <v>29606</v>
      </c>
      <c r="B23" s="408" t="s">
        <v>25</v>
      </c>
      <c r="C23" s="64">
        <f>33804481/1000</f>
        <v>33804.481</v>
      </c>
      <c r="D23" s="64">
        <v>33804.481</v>
      </c>
      <c r="E23" s="64">
        <v>0</v>
      </c>
      <c r="F23" s="69">
        <f t="shared" si="0"/>
        <v>33804.481</v>
      </c>
    </row>
    <row r="24" spans="1:6" ht="12.75">
      <c r="A24" s="407">
        <v>29627</v>
      </c>
      <c r="B24" s="408" t="s">
        <v>336</v>
      </c>
      <c r="C24" s="64">
        <f>25714499/1000</f>
        <v>25714.499</v>
      </c>
      <c r="D24" s="64">
        <v>25714.499</v>
      </c>
      <c r="E24" s="64">
        <v>0</v>
      </c>
      <c r="F24" s="69">
        <f t="shared" si="0"/>
        <v>25714.499</v>
      </c>
    </row>
    <row r="25" spans="1:6" ht="12.75">
      <c r="A25" s="121"/>
      <c r="B25" s="120"/>
      <c r="C25" s="191"/>
      <c r="D25" s="191"/>
      <c r="E25" s="190"/>
      <c r="F25" s="310"/>
    </row>
    <row r="26" spans="1:6" ht="12.75">
      <c r="A26" s="421" t="s">
        <v>26</v>
      </c>
      <c r="B26" s="111"/>
      <c r="C26" s="104">
        <f>SUM(C14:C24)</f>
        <v>8239170.722999999</v>
      </c>
      <c r="D26" s="104">
        <f>SUM(D14:D24)</f>
        <v>8239170.722999999</v>
      </c>
      <c r="E26" s="104">
        <f>SUM(E14:E24)</f>
        <v>0</v>
      </c>
      <c r="F26" s="104">
        <f>SUM(F14:F24)</f>
        <v>8239170.722999999</v>
      </c>
    </row>
    <row r="27" spans="1:6" ht="12.75">
      <c r="A27" s="782" t="s">
        <v>27</v>
      </c>
      <c r="B27" s="121"/>
      <c r="C27" s="34"/>
      <c r="D27" s="34"/>
      <c r="E27" s="35"/>
      <c r="F27" s="91"/>
    </row>
    <row r="28" spans="1:6" ht="12.75">
      <c r="A28" s="407">
        <v>27900</v>
      </c>
      <c r="B28" s="408" t="s">
        <v>28</v>
      </c>
      <c r="C28" s="393">
        <f>7612460/1000</f>
        <v>7612.46</v>
      </c>
      <c r="D28" s="393">
        <v>7612.46</v>
      </c>
      <c r="E28" s="394">
        <v>0</v>
      </c>
      <c r="F28" s="395">
        <f>D28+E28</f>
        <v>7612.46</v>
      </c>
    </row>
    <row r="29" spans="1:6" ht="12.75">
      <c r="A29" s="407">
        <v>27902</v>
      </c>
      <c r="B29" s="408" t="s">
        <v>388</v>
      </c>
      <c r="C29" s="69">
        <f>(10000000+294473665)/1000</f>
        <v>304473.665</v>
      </c>
      <c r="D29" s="69">
        <v>304473.665</v>
      </c>
      <c r="E29" s="193">
        <v>0</v>
      </c>
      <c r="F29" s="311">
        <f aca="true" t="shared" si="1" ref="F29:F46">D29+E29</f>
        <v>304473.665</v>
      </c>
    </row>
    <row r="30" spans="1:6" ht="12.75">
      <c r="A30" s="407">
        <v>27906</v>
      </c>
      <c r="B30" s="408" t="s">
        <v>29</v>
      </c>
      <c r="C30" s="64">
        <f>17500000/1000</f>
        <v>17500</v>
      </c>
      <c r="D30" s="64">
        <v>17500</v>
      </c>
      <c r="E30" s="192">
        <v>0</v>
      </c>
      <c r="F30" s="311">
        <f t="shared" si="1"/>
        <v>17500</v>
      </c>
    </row>
    <row r="31" spans="1:6" ht="12.75">
      <c r="A31" s="407">
        <v>27907</v>
      </c>
      <c r="B31" s="408" t="s">
        <v>30</v>
      </c>
      <c r="C31" s="64">
        <f>76021107/1000</f>
        <v>76021.107</v>
      </c>
      <c r="D31" s="64">
        <v>76021.107</v>
      </c>
      <c r="E31" s="192">
        <v>0</v>
      </c>
      <c r="F31" s="311">
        <f t="shared" si="1"/>
        <v>76021.107</v>
      </c>
    </row>
    <row r="32" spans="1:6" ht="12.75">
      <c r="A32" s="407">
        <v>27914</v>
      </c>
      <c r="B32" s="408" t="s">
        <v>377</v>
      </c>
      <c r="C32" s="69">
        <f>32034242/1000</f>
        <v>32034.242</v>
      </c>
      <c r="D32" s="69">
        <v>32034.242</v>
      </c>
      <c r="E32" s="193">
        <v>0</v>
      </c>
      <c r="F32" s="311">
        <f t="shared" si="1"/>
        <v>32034.242</v>
      </c>
    </row>
    <row r="33" spans="1:6" ht="12.75">
      <c r="A33" s="407">
        <v>29255</v>
      </c>
      <c r="B33" s="408" t="s">
        <v>31</v>
      </c>
      <c r="C33" s="65">
        <f>524734901/1000</f>
        <v>524734.901</v>
      </c>
      <c r="D33" s="65">
        <v>524734.901</v>
      </c>
      <c r="E33" s="192">
        <v>0</v>
      </c>
      <c r="F33" s="311">
        <f t="shared" si="1"/>
        <v>524734.901</v>
      </c>
    </row>
    <row r="34" spans="1:6" ht="12.75">
      <c r="A34" s="407">
        <v>29260</v>
      </c>
      <c r="B34" s="408" t="s">
        <v>300</v>
      </c>
      <c r="C34" s="64">
        <f>30285596/1000</f>
        <v>30285.596</v>
      </c>
      <c r="D34" s="64">
        <v>30285.596</v>
      </c>
      <c r="E34" s="192">
        <v>0</v>
      </c>
      <c r="F34" s="311">
        <f t="shared" si="1"/>
        <v>30285.596</v>
      </c>
    </row>
    <row r="35" spans="1:6" ht="12.75">
      <c r="A35" s="407">
        <v>29261</v>
      </c>
      <c r="B35" s="408" t="s">
        <v>59</v>
      </c>
      <c r="C35" s="64">
        <f>19518933/1000</f>
        <v>19518.933</v>
      </c>
      <c r="D35" s="64">
        <v>19518.933</v>
      </c>
      <c r="E35" s="192">
        <v>0</v>
      </c>
      <c r="F35" s="311">
        <f t="shared" si="1"/>
        <v>19518.933</v>
      </c>
    </row>
    <row r="36" spans="1:6" ht="12.75">
      <c r="A36" s="407">
        <v>29262</v>
      </c>
      <c r="B36" s="408" t="s">
        <v>32</v>
      </c>
      <c r="C36" s="64">
        <f>14434754/1000</f>
        <v>14434.754</v>
      </c>
      <c r="D36" s="64">
        <v>14434.754</v>
      </c>
      <c r="E36" s="192">
        <v>0</v>
      </c>
      <c r="F36" s="311">
        <f t="shared" si="1"/>
        <v>14434.754</v>
      </c>
    </row>
    <row r="37" spans="1:6" ht="12.75">
      <c r="A37" s="407">
        <v>29275</v>
      </c>
      <c r="B37" s="408" t="s">
        <v>33</v>
      </c>
      <c r="C37" s="64">
        <f>7191186/1000</f>
        <v>7191.186</v>
      </c>
      <c r="D37" s="64">
        <v>7191.186</v>
      </c>
      <c r="E37" s="192">
        <v>0</v>
      </c>
      <c r="F37" s="311">
        <f t="shared" si="1"/>
        <v>7191.186</v>
      </c>
    </row>
    <row r="38" spans="1:6" ht="12.75">
      <c r="A38" s="407">
        <v>29292</v>
      </c>
      <c r="B38" s="408" t="s">
        <v>34</v>
      </c>
      <c r="C38" s="64">
        <f>10000000/1000</f>
        <v>10000</v>
      </c>
      <c r="D38" s="64">
        <v>10000</v>
      </c>
      <c r="E38" s="192">
        <v>0</v>
      </c>
      <c r="F38" s="311">
        <f t="shared" si="1"/>
        <v>10000</v>
      </c>
    </row>
    <row r="39" spans="1:6" ht="12.75">
      <c r="A39" s="407">
        <v>29295</v>
      </c>
      <c r="B39" s="408" t="s">
        <v>35</v>
      </c>
      <c r="C39" s="65">
        <f>135009017/1000</f>
        <v>135009.017</v>
      </c>
      <c r="D39" s="65">
        <v>135009.017</v>
      </c>
      <c r="E39" s="192">
        <v>0</v>
      </c>
      <c r="F39" s="311">
        <f t="shared" si="1"/>
        <v>135009.017</v>
      </c>
    </row>
    <row r="40" spans="1:6" ht="12.75">
      <c r="A40" s="407">
        <v>29356</v>
      </c>
      <c r="B40" s="408" t="s">
        <v>370</v>
      </c>
      <c r="C40" s="65">
        <f>7028996/1000</f>
        <v>7028.996</v>
      </c>
      <c r="D40" s="65">
        <v>7028.996</v>
      </c>
      <c r="E40" s="192">
        <v>0</v>
      </c>
      <c r="F40" s="311">
        <f t="shared" si="1"/>
        <v>7028.996</v>
      </c>
    </row>
    <row r="41" spans="1:6" ht="12.75">
      <c r="A41" s="407">
        <v>29603</v>
      </c>
      <c r="B41" s="408" t="s">
        <v>36</v>
      </c>
      <c r="C41" s="64">
        <f>4682434/1000</f>
        <v>4682.434</v>
      </c>
      <c r="D41" s="64">
        <v>4682.434</v>
      </c>
      <c r="E41" s="192">
        <v>0</v>
      </c>
      <c r="F41" s="311">
        <f t="shared" si="1"/>
        <v>4682.434</v>
      </c>
    </row>
    <row r="42" spans="1:6" ht="12.75">
      <c r="A42" s="407">
        <v>29614</v>
      </c>
      <c r="B42" s="408" t="s">
        <v>378</v>
      </c>
      <c r="C42" s="64">
        <f>224946630/1000</f>
        <v>224946.63</v>
      </c>
      <c r="D42" s="64">
        <v>224946.63</v>
      </c>
      <c r="E42" s="192">
        <v>0</v>
      </c>
      <c r="F42" s="311">
        <f t="shared" si="1"/>
        <v>224946.63</v>
      </c>
    </row>
    <row r="43" spans="1:6" ht="12.75">
      <c r="A43" s="409">
        <v>29617</v>
      </c>
      <c r="B43" s="408" t="s">
        <v>301</v>
      </c>
      <c r="C43" s="64">
        <f>4300000/1000</f>
        <v>4300</v>
      </c>
      <c r="D43" s="64">
        <v>4300</v>
      </c>
      <c r="E43" s="192">
        <v>0</v>
      </c>
      <c r="F43" s="311">
        <f t="shared" si="1"/>
        <v>4300</v>
      </c>
    </row>
    <row r="44" spans="1:6" ht="12.75">
      <c r="A44" s="409" t="s">
        <v>38</v>
      </c>
      <c r="B44" s="408" t="s">
        <v>81</v>
      </c>
      <c r="C44" s="64">
        <f>15000000/1000</f>
        <v>15000</v>
      </c>
      <c r="D44" s="64">
        <v>15000</v>
      </c>
      <c r="E44" s="192">
        <v>0</v>
      </c>
      <c r="F44" s="311">
        <f t="shared" si="1"/>
        <v>15000</v>
      </c>
    </row>
    <row r="45" spans="1:6" ht="12.75">
      <c r="A45" s="409">
        <v>29624</v>
      </c>
      <c r="B45" s="408" t="s">
        <v>366</v>
      </c>
      <c r="C45" s="64">
        <f>50000000/1000</f>
        <v>50000</v>
      </c>
      <c r="D45" s="64">
        <v>50000</v>
      </c>
      <c r="E45" s="192">
        <v>0</v>
      </c>
      <c r="F45" s="311">
        <f t="shared" si="1"/>
        <v>50000</v>
      </c>
    </row>
    <row r="46" spans="1:6" ht="12.75">
      <c r="A46" s="409">
        <v>30400</v>
      </c>
      <c r="B46" s="408" t="s">
        <v>312</v>
      </c>
      <c r="C46" s="64">
        <f>334801/1000</f>
        <v>334.801</v>
      </c>
      <c r="D46" s="64">
        <v>334.801</v>
      </c>
      <c r="E46" s="192">
        <v>0</v>
      </c>
      <c r="F46" s="311">
        <f t="shared" si="1"/>
        <v>334.801</v>
      </c>
    </row>
    <row r="47" spans="1:6" ht="12.75">
      <c r="A47" s="122"/>
      <c r="B47" s="110"/>
      <c r="C47" s="64"/>
      <c r="D47" s="64"/>
      <c r="E47" s="192"/>
      <c r="F47" s="311"/>
    </row>
    <row r="48" spans="1:6" ht="12.75">
      <c r="A48" s="421" t="s">
        <v>39</v>
      </c>
      <c r="B48" s="180"/>
      <c r="C48" s="104">
        <f>SUM(C28:C47)</f>
        <v>1485108.722</v>
      </c>
      <c r="D48" s="104">
        <f>SUM(D28:D47)</f>
        <v>1485108.722</v>
      </c>
      <c r="E48" s="104">
        <f>SUM(E28:E47)</f>
        <v>0</v>
      </c>
      <c r="F48" s="104">
        <f>SUM(F27:F47)</f>
        <v>1485108.722</v>
      </c>
    </row>
    <row r="49" spans="1:6" ht="12.75">
      <c r="A49" s="421" t="s">
        <v>40</v>
      </c>
      <c r="B49" s="181"/>
      <c r="C49" s="104">
        <f>C26+C48</f>
        <v>9724279.445</v>
      </c>
      <c r="D49" s="104">
        <f>D26+D48</f>
        <v>9724279.445</v>
      </c>
      <c r="E49" s="104">
        <f>E26+E48</f>
        <v>0</v>
      </c>
      <c r="F49" s="104">
        <f>F26+F48</f>
        <v>9724279.445</v>
      </c>
    </row>
    <row r="50" spans="1:6" ht="12.75">
      <c r="A50" s="45"/>
      <c r="B50" s="45"/>
      <c r="C50" s="46" t="s">
        <v>1</v>
      </c>
      <c r="D50" s="46"/>
      <c r="E50" s="47"/>
      <c r="F50" s="90"/>
    </row>
  </sheetData>
  <sheetProtection/>
  <mergeCells count="4">
    <mergeCell ref="A1:F1"/>
    <mergeCell ref="A2:F2"/>
    <mergeCell ref="A3:F3"/>
    <mergeCell ref="A4:F4"/>
  </mergeCells>
  <printOptions horizontalCentered="1"/>
  <pageMargins left="0" right="0" top="0.75" bottom="0.75" header="0" footer="0.25"/>
  <pageSetup horizontalDpi="600" verticalDpi="600" orientation="portrait" scale="82" r:id="rId1"/>
  <headerFooter alignWithMargins="0">
    <oddFooter>&amp;C- &amp;12 4&amp;10 -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10.57421875" style="0" customWidth="1"/>
    <col min="2" max="2" width="58.00390625" style="0" customWidth="1"/>
    <col min="3" max="6" width="14.421875" style="96" customWidth="1"/>
  </cols>
  <sheetData>
    <row r="1" spans="1:6" ht="18">
      <c r="A1" s="871" t="s">
        <v>244</v>
      </c>
      <c r="B1" s="871"/>
      <c r="C1" s="871"/>
      <c r="D1" s="871"/>
      <c r="E1" s="871"/>
      <c r="F1" s="871"/>
    </row>
    <row r="2" spans="1:6" ht="18">
      <c r="A2" s="872" t="s">
        <v>58</v>
      </c>
      <c r="B2" s="872"/>
      <c r="C2" s="872"/>
      <c r="D2" s="872"/>
      <c r="E2" s="872"/>
      <c r="F2" s="872"/>
    </row>
    <row r="3" spans="1:6" ht="15">
      <c r="A3" s="873" t="s">
        <v>558</v>
      </c>
      <c r="B3" s="873"/>
      <c r="C3" s="873"/>
      <c r="D3" s="873"/>
      <c r="E3" s="873"/>
      <c r="F3" s="873"/>
    </row>
    <row r="4" spans="1:6" ht="12.75">
      <c r="A4" s="874" t="s">
        <v>12</v>
      </c>
      <c r="B4" s="874"/>
      <c r="C4" s="874"/>
      <c r="D4" s="874"/>
      <c r="E4" s="874"/>
      <c r="F4" s="874"/>
    </row>
    <row r="5" spans="1:6" ht="12.75">
      <c r="A5" s="36"/>
      <c r="B5" s="36"/>
      <c r="C5" s="36"/>
      <c r="D5" s="36"/>
      <c r="E5" s="36"/>
      <c r="F5" s="36"/>
    </row>
    <row r="6" spans="1:6" ht="6" customHeight="1">
      <c r="A6" s="37"/>
      <c r="B6" s="38"/>
      <c r="C6" s="92"/>
      <c r="D6" s="92"/>
      <c r="E6" s="93"/>
      <c r="F6" s="93"/>
    </row>
    <row r="7" spans="3:6" ht="12.75">
      <c r="C7" s="60" t="str">
        <f>+'Revenue Budget Update_1 of 3'!C7</f>
        <v>FY 2016</v>
      </c>
      <c r="D7" s="60" t="s">
        <v>434</v>
      </c>
      <c r="F7" s="198" t="s">
        <v>361</v>
      </c>
    </row>
    <row r="8" spans="1:6" ht="12.75">
      <c r="A8" s="39" t="s">
        <v>13</v>
      </c>
      <c r="B8" s="57"/>
      <c r="C8" s="60" t="s">
        <v>2</v>
      </c>
      <c r="D8" s="60" t="s">
        <v>13</v>
      </c>
      <c r="E8" s="60" t="s">
        <v>245</v>
      </c>
      <c r="F8" s="60" t="s">
        <v>13</v>
      </c>
    </row>
    <row r="9" spans="1:6" ht="12.75">
      <c r="A9" s="39" t="s">
        <v>14</v>
      </c>
      <c r="B9" s="58" t="s">
        <v>15</v>
      </c>
      <c r="C9" s="60" t="s">
        <v>5</v>
      </c>
      <c r="D9" s="60" t="s">
        <v>306</v>
      </c>
      <c r="E9" s="60" t="s">
        <v>6</v>
      </c>
      <c r="F9" s="60" t="s">
        <v>16</v>
      </c>
    </row>
    <row r="10" spans="1:6" ht="6" customHeight="1">
      <c r="A10" s="40"/>
      <c r="B10" s="61"/>
      <c r="C10" s="94"/>
      <c r="D10" s="94"/>
      <c r="E10" s="95"/>
      <c r="F10" s="95"/>
    </row>
    <row r="11" spans="1:6" ht="12.75">
      <c r="A11" s="41"/>
      <c r="B11" s="42"/>
      <c r="C11" s="85"/>
      <c r="D11" s="85"/>
      <c r="E11" s="71"/>
      <c r="F11" s="71"/>
    </row>
    <row r="12" spans="1:6" ht="12.75">
      <c r="A12" s="123" t="s">
        <v>41</v>
      </c>
      <c r="B12" s="112"/>
      <c r="C12" s="48"/>
      <c r="D12" s="48"/>
      <c r="E12" s="35"/>
      <c r="F12" s="89"/>
    </row>
    <row r="13" spans="1:6" ht="12.75">
      <c r="A13" s="409" t="s">
        <v>359</v>
      </c>
      <c r="B13" s="408" t="s">
        <v>360</v>
      </c>
      <c r="C13" s="393">
        <f>97000000/1000</f>
        <v>97000</v>
      </c>
      <c r="D13" s="393">
        <v>97000</v>
      </c>
      <c r="E13" s="394">
        <v>0</v>
      </c>
      <c r="F13" s="396">
        <f>D13+E13</f>
        <v>97000</v>
      </c>
    </row>
    <row r="14" spans="1:6" ht="12.75">
      <c r="A14" s="409">
        <v>13022</v>
      </c>
      <c r="B14" s="408" t="s">
        <v>260</v>
      </c>
      <c r="C14" s="64">
        <f>(17807549+883909)/1000</f>
        <v>18691.458</v>
      </c>
      <c r="D14" s="64">
        <v>18691.458</v>
      </c>
      <c r="E14" s="192">
        <v>0</v>
      </c>
      <c r="F14" s="89">
        <f aca="true" t="shared" si="0" ref="F14:F31">D14+E14</f>
        <v>18691.458</v>
      </c>
    </row>
    <row r="15" spans="1:6" ht="12.75">
      <c r="A15" s="409" t="s">
        <v>42</v>
      </c>
      <c r="B15" s="408" t="s">
        <v>304</v>
      </c>
      <c r="C15" s="64">
        <f>21038101/1000</f>
        <v>21038.101</v>
      </c>
      <c r="D15" s="64">
        <v>21038.101</v>
      </c>
      <c r="E15" s="192">
        <v>0</v>
      </c>
      <c r="F15" s="89">
        <f t="shared" si="0"/>
        <v>21038.101</v>
      </c>
    </row>
    <row r="16" spans="1:6" ht="12.75">
      <c r="A16" s="409" t="s">
        <v>43</v>
      </c>
      <c r="B16" s="408" t="s">
        <v>60</v>
      </c>
      <c r="C16" s="64">
        <f>300476353/1000</f>
        <v>300476.353</v>
      </c>
      <c r="D16" s="64">
        <v>300476.353</v>
      </c>
      <c r="E16" s="192">
        <v>0</v>
      </c>
      <c r="F16" s="89">
        <f t="shared" si="0"/>
        <v>300476.353</v>
      </c>
    </row>
    <row r="17" spans="1:6" ht="12.75">
      <c r="A17" s="409" t="s">
        <v>44</v>
      </c>
      <c r="B17" s="408" t="s">
        <v>45</v>
      </c>
      <c r="C17" s="64">
        <f>14294282/1000</f>
        <v>14294.282</v>
      </c>
      <c r="D17" s="64">
        <v>14294.282</v>
      </c>
      <c r="E17" s="192">
        <v>0</v>
      </c>
      <c r="F17" s="89">
        <f t="shared" si="0"/>
        <v>14294.282</v>
      </c>
    </row>
    <row r="18" spans="1:6" ht="12.75">
      <c r="A18" s="409" t="s">
        <v>46</v>
      </c>
      <c r="B18" s="408" t="s">
        <v>47</v>
      </c>
      <c r="C18" s="64">
        <f>78242518/1000</f>
        <v>78242.518</v>
      </c>
      <c r="D18" s="64">
        <v>78242.518</v>
      </c>
      <c r="E18" s="192">
        <v>0</v>
      </c>
      <c r="F18" s="89">
        <f t="shared" si="0"/>
        <v>78242.518</v>
      </c>
    </row>
    <row r="19" spans="1:6" ht="12.75">
      <c r="A19" s="410" t="s">
        <v>61</v>
      </c>
      <c r="B19" s="408" t="s">
        <v>48</v>
      </c>
      <c r="C19" s="65">
        <f>(641409673+37691450)/1000</f>
        <v>679101.123</v>
      </c>
      <c r="D19" s="65">
        <v>679101.123</v>
      </c>
      <c r="E19" s="192">
        <v>0</v>
      </c>
      <c r="F19" s="89">
        <f t="shared" si="0"/>
        <v>679101.123</v>
      </c>
    </row>
    <row r="20" spans="1:6" ht="12.75">
      <c r="A20" s="409" t="s">
        <v>62</v>
      </c>
      <c r="B20" s="408" t="s">
        <v>49</v>
      </c>
      <c r="C20" s="64">
        <f>15000000/1000</f>
        <v>15000</v>
      </c>
      <c r="D20" s="64">
        <v>15000</v>
      </c>
      <c r="E20" s="192">
        <v>0</v>
      </c>
      <c r="F20" s="89">
        <f t="shared" si="0"/>
        <v>15000</v>
      </c>
    </row>
    <row r="21" spans="1:6" ht="12.75">
      <c r="A21" s="409" t="s">
        <v>50</v>
      </c>
      <c r="B21" s="408" t="s">
        <v>51</v>
      </c>
      <c r="C21" s="64">
        <f>269781558/1000</f>
        <v>269781.558</v>
      </c>
      <c r="D21" s="64">
        <v>269781.558</v>
      </c>
      <c r="E21" s="192">
        <v>0</v>
      </c>
      <c r="F21" s="89">
        <f t="shared" si="0"/>
        <v>269781.558</v>
      </c>
    </row>
    <row r="22" spans="1:6" ht="12.75">
      <c r="A22" s="409" t="s">
        <v>52</v>
      </c>
      <c r="B22" s="408" t="s">
        <v>302</v>
      </c>
      <c r="C22" s="64">
        <f>5250000/1000</f>
        <v>5250</v>
      </c>
      <c r="D22" s="64">
        <v>5250</v>
      </c>
      <c r="E22" s="192">
        <v>0</v>
      </c>
      <c r="F22" s="89">
        <f t="shared" si="0"/>
        <v>5250</v>
      </c>
    </row>
    <row r="23" spans="1:6" ht="12.75">
      <c r="A23" s="410" t="s">
        <v>63</v>
      </c>
      <c r="B23" s="408" t="s">
        <v>53</v>
      </c>
      <c r="C23" s="64">
        <f>18108427/1000</f>
        <v>18108.427</v>
      </c>
      <c r="D23" s="64">
        <v>18108.427</v>
      </c>
      <c r="E23" s="192">
        <v>0</v>
      </c>
      <c r="F23" s="89">
        <f t="shared" si="0"/>
        <v>18108.427</v>
      </c>
    </row>
    <row r="24" spans="1:6" s="234" customFormat="1" ht="12.75">
      <c r="A24" s="409" t="s">
        <v>54</v>
      </c>
      <c r="B24" s="408" t="s">
        <v>251</v>
      </c>
      <c r="C24" s="69">
        <f>108000000/1000</f>
        <v>108000</v>
      </c>
      <c r="D24" s="69">
        <v>108000</v>
      </c>
      <c r="E24" s="193">
        <v>0</v>
      </c>
      <c r="F24" s="89">
        <f t="shared" si="0"/>
        <v>108000</v>
      </c>
    </row>
    <row r="25" spans="1:6" ht="12.75">
      <c r="A25" s="409" t="s">
        <v>55</v>
      </c>
      <c r="B25" s="408" t="s">
        <v>56</v>
      </c>
      <c r="C25" s="64">
        <f>10200000/1000</f>
        <v>10200</v>
      </c>
      <c r="D25" s="64">
        <v>10200</v>
      </c>
      <c r="E25" s="192">
        <v>0</v>
      </c>
      <c r="F25" s="89">
        <f t="shared" si="0"/>
        <v>10200</v>
      </c>
    </row>
    <row r="26" spans="1:6" ht="12.75">
      <c r="A26" s="409">
        <v>13936</v>
      </c>
      <c r="B26" s="408" t="s">
        <v>303</v>
      </c>
      <c r="C26" s="64">
        <f>1550000/1000</f>
        <v>1550</v>
      </c>
      <c r="D26" s="64">
        <v>1550</v>
      </c>
      <c r="E26" s="192">
        <v>0</v>
      </c>
      <c r="F26" s="89">
        <f t="shared" si="0"/>
        <v>1550</v>
      </c>
    </row>
    <row r="27" spans="1:6" ht="12.75">
      <c r="A27" s="409">
        <v>13939</v>
      </c>
      <c r="B27" s="408" t="s">
        <v>246</v>
      </c>
      <c r="C27" s="64">
        <f>21011386/1000</f>
        <v>21011.386</v>
      </c>
      <c r="D27" s="64">
        <v>21011.386</v>
      </c>
      <c r="E27" s="192">
        <v>0</v>
      </c>
      <c r="F27" s="89">
        <f t="shared" si="0"/>
        <v>21011.386</v>
      </c>
    </row>
    <row r="28" spans="1:6" ht="12.75">
      <c r="A28" s="409" t="s">
        <v>247</v>
      </c>
      <c r="B28" s="408" t="s">
        <v>259</v>
      </c>
      <c r="C28" s="64">
        <f>34006181/1000</f>
        <v>34006.181</v>
      </c>
      <c r="D28" s="64">
        <v>34006.181</v>
      </c>
      <c r="E28" s="192">
        <v>0</v>
      </c>
      <c r="F28" s="89">
        <f t="shared" si="0"/>
        <v>34006.181</v>
      </c>
    </row>
    <row r="29" spans="1:6" ht="12.75">
      <c r="A29" s="409">
        <v>13945</v>
      </c>
      <c r="B29" s="408" t="s">
        <v>371</v>
      </c>
      <c r="C29" s="35">
        <f>30000000/1000</f>
        <v>30000</v>
      </c>
      <c r="D29" s="35">
        <v>30000</v>
      </c>
      <c r="E29" s="35">
        <v>0</v>
      </c>
      <c r="F29" s="89">
        <f t="shared" si="0"/>
        <v>30000</v>
      </c>
    </row>
    <row r="30" spans="1:6" ht="12.75">
      <c r="A30" s="411">
        <v>14711</v>
      </c>
      <c r="B30" s="470" t="s">
        <v>376</v>
      </c>
      <c r="C30" s="205">
        <f>178616/1000</f>
        <v>178.616</v>
      </c>
      <c r="D30" s="205">
        <v>178.616</v>
      </c>
      <c r="E30" s="205">
        <v>0</v>
      </c>
      <c r="F30" s="401">
        <f t="shared" si="0"/>
        <v>178.616</v>
      </c>
    </row>
    <row r="31" spans="1:6" ht="12.75">
      <c r="A31" s="413">
        <v>14717</v>
      </c>
      <c r="B31" s="202" t="s">
        <v>395</v>
      </c>
      <c r="C31" s="35">
        <f>7700000/1000</f>
        <v>7700</v>
      </c>
      <c r="D31" s="35">
        <v>7700</v>
      </c>
      <c r="E31" s="35">
        <v>0</v>
      </c>
      <c r="F31" s="89">
        <f t="shared" si="0"/>
        <v>7700</v>
      </c>
    </row>
    <row r="32" spans="1:6" ht="12.75">
      <c r="A32" s="357"/>
      <c r="B32" s="113"/>
      <c r="C32" s="35"/>
      <c r="D32" s="35"/>
      <c r="E32" s="35"/>
      <c r="F32" s="89"/>
    </row>
    <row r="33" spans="1:6" ht="12.75">
      <c r="A33" s="422" t="s">
        <v>253</v>
      </c>
      <c r="B33" s="44"/>
      <c r="C33" s="109">
        <f>SUM(C13:C31)</f>
        <v>1729630.0029999998</v>
      </c>
      <c r="D33" s="109">
        <f>SUM(D13:D31)</f>
        <v>1729630.0029999998</v>
      </c>
      <c r="E33" s="109">
        <f>SUM(E13:E31)</f>
        <v>0</v>
      </c>
      <c r="F33" s="109">
        <f>SUM(F13:F31)</f>
        <v>1729630.0029999998</v>
      </c>
    </row>
    <row r="34" spans="1:6" ht="12.75">
      <c r="A34" s="45"/>
      <c r="B34" s="45"/>
      <c r="C34" s="46"/>
      <c r="D34" s="46"/>
      <c r="E34" s="47"/>
      <c r="F34" s="90"/>
    </row>
    <row r="35" spans="1:6" ht="12.75">
      <c r="A35" s="124" t="s">
        <v>64</v>
      </c>
      <c r="B35" s="112"/>
      <c r="E35" s="35"/>
      <c r="F35" s="89"/>
    </row>
    <row r="36" spans="1:6" ht="12.75">
      <c r="A36" s="410" t="s">
        <v>65</v>
      </c>
      <c r="B36" s="783" t="s">
        <v>383</v>
      </c>
      <c r="C36" s="397">
        <v>0</v>
      </c>
      <c r="D36" s="397">
        <v>942.164</v>
      </c>
      <c r="E36" s="397">
        <v>0</v>
      </c>
      <c r="F36" s="396">
        <f>D36+E36</f>
        <v>942.164</v>
      </c>
    </row>
    <row r="37" spans="1:6" ht="12.75">
      <c r="A37" s="410" t="s">
        <v>65</v>
      </c>
      <c r="B37" s="783" t="s">
        <v>384</v>
      </c>
      <c r="C37" s="66">
        <v>0</v>
      </c>
      <c r="D37" s="66">
        <v>1416.313</v>
      </c>
      <c r="E37" s="35">
        <v>145.424</v>
      </c>
      <c r="F37" s="35">
        <f aca="true" t="shared" si="1" ref="F37:F52">D37+E37</f>
        <v>1561.737</v>
      </c>
    </row>
    <row r="38" spans="1:6" ht="12.75">
      <c r="A38" s="410" t="s">
        <v>65</v>
      </c>
      <c r="B38" s="783" t="s">
        <v>379</v>
      </c>
      <c r="C38" s="66">
        <v>0</v>
      </c>
      <c r="D38" s="66">
        <v>0</v>
      </c>
      <c r="E38" s="35">
        <v>10865</v>
      </c>
      <c r="F38" s="35">
        <f t="shared" si="1"/>
        <v>10865</v>
      </c>
    </row>
    <row r="39" spans="1:6" ht="12.75">
      <c r="A39" s="410" t="s">
        <v>65</v>
      </c>
      <c r="B39" s="783" t="s">
        <v>440</v>
      </c>
      <c r="C39" s="66">
        <v>0</v>
      </c>
      <c r="D39" s="66">
        <v>0</v>
      </c>
      <c r="E39" s="35">
        <v>2.22</v>
      </c>
      <c r="F39" s="35">
        <f t="shared" si="1"/>
        <v>2.22</v>
      </c>
    </row>
    <row r="40" spans="1:6" ht="12.75">
      <c r="A40" s="410" t="s">
        <v>65</v>
      </c>
      <c r="B40" s="783" t="s">
        <v>382</v>
      </c>
      <c r="C40" s="66">
        <v>0</v>
      </c>
      <c r="D40" s="66">
        <v>5500</v>
      </c>
      <c r="E40" s="35">
        <v>0</v>
      </c>
      <c r="F40" s="35">
        <f t="shared" si="1"/>
        <v>5500</v>
      </c>
    </row>
    <row r="41" spans="1:6" ht="12.75">
      <c r="A41" s="410" t="s">
        <v>65</v>
      </c>
      <c r="B41" s="783" t="s">
        <v>585</v>
      </c>
      <c r="C41" s="66">
        <v>0</v>
      </c>
      <c r="D41" s="66">
        <v>276.903</v>
      </c>
      <c r="E41" s="35">
        <v>0</v>
      </c>
      <c r="F41" s="35">
        <f>D41+E41</f>
        <v>276.903</v>
      </c>
    </row>
    <row r="42" spans="1:6" ht="12.75">
      <c r="A42" s="410" t="s">
        <v>65</v>
      </c>
      <c r="B42" s="783" t="s">
        <v>375</v>
      </c>
      <c r="C42" s="66">
        <f>(657826+72910)/1000</f>
        <v>730.736</v>
      </c>
      <c r="D42" s="66">
        <v>730.736</v>
      </c>
      <c r="E42" s="35">
        <v>0</v>
      </c>
      <c r="F42" s="35">
        <f t="shared" si="1"/>
        <v>730.736</v>
      </c>
    </row>
    <row r="43" spans="1:6" ht="12.75">
      <c r="A43" s="410" t="s">
        <v>65</v>
      </c>
      <c r="B43" s="783" t="s">
        <v>369</v>
      </c>
      <c r="C43" s="66">
        <f>2430300/1000</f>
        <v>2430.3</v>
      </c>
      <c r="D43" s="66">
        <v>2430.3</v>
      </c>
      <c r="E43" s="35">
        <v>0</v>
      </c>
      <c r="F43" s="35">
        <f t="shared" si="1"/>
        <v>2430.3</v>
      </c>
    </row>
    <row r="44" spans="1:6" ht="12.75">
      <c r="A44" s="410" t="s">
        <v>65</v>
      </c>
      <c r="B44" s="783" t="s">
        <v>368</v>
      </c>
      <c r="C44" s="66">
        <f>(3063726+13679)/1000</f>
        <v>3077.405</v>
      </c>
      <c r="D44" s="66">
        <v>3077.405</v>
      </c>
      <c r="E44" s="35">
        <v>0</v>
      </c>
      <c r="F44" s="35">
        <f t="shared" si="1"/>
        <v>3077.405</v>
      </c>
    </row>
    <row r="45" spans="1:6" ht="12.75">
      <c r="A45" s="410" t="s">
        <v>65</v>
      </c>
      <c r="B45" s="783" t="s">
        <v>380</v>
      </c>
      <c r="C45" s="66">
        <f>(21518+3986)/1000</f>
        <v>25.504</v>
      </c>
      <c r="D45" s="66">
        <v>25.504</v>
      </c>
      <c r="E45" s="35">
        <v>1253.713</v>
      </c>
      <c r="F45" s="35">
        <f t="shared" si="1"/>
        <v>1279.2169999999999</v>
      </c>
    </row>
    <row r="46" spans="1:6" ht="12.75">
      <c r="A46" s="410" t="s">
        <v>65</v>
      </c>
      <c r="B46" s="408" t="s">
        <v>367</v>
      </c>
      <c r="C46" s="66">
        <f>(2000000+996816)/1000</f>
        <v>2996.816</v>
      </c>
      <c r="D46" s="66">
        <v>2996.816</v>
      </c>
      <c r="E46" s="35">
        <v>0</v>
      </c>
      <c r="F46" s="35">
        <f t="shared" si="1"/>
        <v>2996.816</v>
      </c>
    </row>
    <row r="47" spans="1:6" ht="12.75">
      <c r="A47" s="410" t="s">
        <v>65</v>
      </c>
      <c r="B47" s="408" t="s">
        <v>393</v>
      </c>
      <c r="C47" s="66">
        <f>5200000/1000</f>
        <v>5200</v>
      </c>
      <c r="D47" s="66">
        <v>5200</v>
      </c>
      <c r="E47" s="35">
        <v>0</v>
      </c>
      <c r="F47" s="35">
        <f t="shared" si="1"/>
        <v>5200</v>
      </c>
    </row>
    <row r="48" spans="1:6" ht="12.75">
      <c r="A48" s="410" t="s">
        <v>65</v>
      </c>
      <c r="B48" s="783" t="s">
        <v>385</v>
      </c>
      <c r="C48" s="66">
        <v>0</v>
      </c>
      <c r="D48" s="66">
        <v>0</v>
      </c>
      <c r="E48" s="35">
        <v>120</v>
      </c>
      <c r="F48" s="35">
        <f t="shared" si="1"/>
        <v>120</v>
      </c>
    </row>
    <row r="49" spans="1:6" ht="12.75">
      <c r="A49" s="410" t="s">
        <v>65</v>
      </c>
      <c r="B49" s="783" t="s">
        <v>386</v>
      </c>
      <c r="C49" s="66">
        <v>0</v>
      </c>
      <c r="D49" s="66">
        <v>972.848</v>
      </c>
      <c r="E49" s="35">
        <v>0</v>
      </c>
      <c r="F49" s="35">
        <f t="shared" si="1"/>
        <v>972.848</v>
      </c>
    </row>
    <row r="50" spans="1:6" ht="12.75">
      <c r="A50" s="410" t="s">
        <v>66</v>
      </c>
      <c r="B50" s="408" t="s">
        <v>299</v>
      </c>
      <c r="C50" s="66">
        <f>100000/1000</f>
        <v>100</v>
      </c>
      <c r="D50" s="66">
        <v>100</v>
      </c>
      <c r="E50" s="35">
        <v>0</v>
      </c>
      <c r="F50" s="35">
        <f t="shared" si="1"/>
        <v>100</v>
      </c>
    </row>
    <row r="51" spans="1:6" ht="12.75">
      <c r="A51" s="411" t="s">
        <v>66</v>
      </c>
      <c r="B51" s="470" t="s">
        <v>283</v>
      </c>
      <c r="C51" s="49">
        <f>541787/1000</f>
        <v>541.787</v>
      </c>
      <c r="D51" s="49">
        <v>541.787</v>
      </c>
      <c r="E51" s="35">
        <v>0</v>
      </c>
      <c r="F51" s="35">
        <f t="shared" si="1"/>
        <v>541.787</v>
      </c>
    </row>
    <row r="52" spans="1:6" ht="12.75">
      <c r="A52" s="410" t="s">
        <v>66</v>
      </c>
      <c r="B52" s="408" t="s">
        <v>394</v>
      </c>
      <c r="C52" s="66">
        <f>130980/1000</f>
        <v>130.98</v>
      </c>
      <c r="D52" s="66">
        <v>130.98</v>
      </c>
      <c r="E52" s="35">
        <v>0</v>
      </c>
      <c r="F52" s="35">
        <f t="shared" si="1"/>
        <v>130.98</v>
      </c>
    </row>
    <row r="53" spans="1:6" ht="12.75">
      <c r="A53" s="125"/>
      <c r="B53" s="114"/>
      <c r="C53" s="49"/>
      <c r="D53" s="49"/>
      <c r="E53" s="35"/>
      <c r="F53" s="89"/>
    </row>
    <row r="54" spans="1:6" ht="12.75">
      <c r="A54" s="420" t="s">
        <v>256</v>
      </c>
      <c r="B54" s="50"/>
      <c r="C54" s="104">
        <f>SUM(C36:C53)</f>
        <v>15233.528</v>
      </c>
      <c r="D54" s="104">
        <f>SUM(D36:D53)</f>
        <v>24341.756</v>
      </c>
      <c r="E54" s="104">
        <f>SUM(E36:E53)</f>
        <v>12386.357</v>
      </c>
      <c r="F54" s="104">
        <f>SUM(F36:F53)</f>
        <v>36728.11299999999</v>
      </c>
    </row>
    <row r="55" spans="3:6" ht="12.75">
      <c r="C55"/>
      <c r="D55"/>
      <c r="E55"/>
      <c r="F55"/>
    </row>
  </sheetData>
  <sheetProtection/>
  <mergeCells count="4">
    <mergeCell ref="A1:F1"/>
    <mergeCell ref="A2:F2"/>
    <mergeCell ref="A3:F3"/>
    <mergeCell ref="A4:F4"/>
  </mergeCells>
  <printOptions horizontalCentered="1"/>
  <pageMargins left="0" right="0" top="0.75" bottom="0.75" header="0" footer="0.25"/>
  <pageSetup horizontalDpi="600" verticalDpi="600" orientation="portrait" scale="80" r:id="rId1"/>
  <headerFooter alignWithMargins="0">
    <oddFooter>&amp;C-&amp;12 5&amp;10 -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10.57421875" style="0" customWidth="1"/>
    <col min="2" max="2" width="43.8515625" style="0" customWidth="1"/>
    <col min="3" max="6" width="14.421875" style="96" customWidth="1"/>
  </cols>
  <sheetData>
    <row r="1" spans="1:6" ht="18">
      <c r="A1" s="871" t="s">
        <v>244</v>
      </c>
      <c r="B1" s="871"/>
      <c r="C1" s="871"/>
      <c r="D1" s="871"/>
      <c r="E1" s="871"/>
      <c r="F1" s="871"/>
    </row>
    <row r="2" spans="1:6" ht="18">
      <c r="A2" s="872" t="s">
        <v>58</v>
      </c>
      <c r="B2" s="872"/>
      <c r="C2" s="872"/>
      <c r="D2" s="872"/>
      <c r="E2" s="872"/>
      <c r="F2" s="872"/>
    </row>
    <row r="3" spans="1:6" ht="15">
      <c r="A3" s="873" t="s">
        <v>558</v>
      </c>
      <c r="B3" s="873"/>
      <c r="C3" s="873"/>
      <c r="D3" s="873"/>
      <c r="E3" s="873"/>
      <c r="F3" s="873"/>
    </row>
    <row r="4" spans="1:6" ht="12.75">
      <c r="A4" s="874" t="s">
        <v>12</v>
      </c>
      <c r="B4" s="874"/>
      <c r="C4" s="874"/>
      <c r="D4" s="874"/>
      <c r="E4" s="874"/>
      <c r="F4" s="874"/>
    </row>
    <row r="5" spans="1:6" ht="12.75">
      <c r="A5" s="36"/>
      <c r="B5" s="36"/>
      <c r="C5" s="36"/>
      <c r="D5" s="36"/>
      <c r="E5" s="36"/>
      <c r="F5" s="36"/>
    </row>
    <row r="6" spans="1:6" ht="6" customHeight="1">
      <c r="A6" s="37"/>
      <c r="B6" s="38"/>
      <c r="C6" s="92"/>
      <c r="D6" s="92"/>
      <c r="E6" s="93"/>
      <c r="F6" s="93"/>
    </row>
    <row r="7" spans="3:6" ht="12.75">
      <c r="C7" s="60" t="str">
        <f>+'Revenue Budget Update_1 of 3'!C7</f>
        <v>FY 2016</v>
      </c>
      <c r="D7" s="60" t="s">
        <v>434</v>
      </c>
      <c r="F7" s="198" t="s">
        <v>361</v>
      </c>
    </row>
    <row r="8" spans="1:6" ht="12.75">
      <c r="A8" s="39" t="s">
        <v>13</v>
      </c>
      <c r="B8" s="57"/>
      <c r="C8" s="60" t="s">
        <v>2</v>
      </c>
      <c r="D8" s="60" t="s">
        <v>13</v>
      </c>
      <c r="E8" s="60" t="s">
        <v>245</v>
      </c>
      <c r="F8" s="60" t="s">
        <v>13</v>
      </c>
    </row>
    <row r="9" spans="1:6" ht="12.75">
      <c r="A9" s="39" t="s">
        <v>14</v>
      </c>
      <c r="B9" s="58" t="s">
        <v>15</v>
      </c>
      <c r="C9" s="60" t="s">
        <v>5</v>
      </c>
      <c r="D9" s="60" t="s">
        <v>306</v>
      </c>
      <c r="E9" s="60" t="s">
        <v>6</v>
      </c>
      <c r="F9" s="60" t="s">
        <v>16</v>
      </c>
    </row>
    <row r="10" spans="1:6" ht="6" customHeight="1">
      <c r="A10" s="40"/>
      <c r="B10" s="61"/>
      <c r="C10" s="94"/>
      <c r="D10" s="94"/>
      <c r="E10" s="95"/>
      <c r="F10" s="95"/>
    </row>
    <row r="11" spans="1:6" ht="12.75">
      <c r="A11" s="41"/>
      <c r="B11" s="42"/>
      <c r="C11" s="85"/>
      <c r="D11" s="85"/>
      <c r="E11" s="71"/>
      <c r="F11" s="71"/>
    </row>
    <row r="12" spans="1:6" ht="12.75">
      <c r="A12" s="126" t="s">
        <v>67</v>
      </c>
      <c r="B12" s="115"/>
      <c r="C12" s="51"/>
      <c r="D12" s="51"/>
      <c r="E12" s="49"/>
      <c r="F12" s="91"/>
    </row>
    <row r="13" spans="1:6" ht="12.75">
      <c r="A13" s="414" t="s">
        <v>68</v>
      </c>
      <c r="B13" s="408" t="s">
        <v>69</v>
      </c>
      <c r="C13" s="397">
        <f>12750</f>
        <v>12750</v>
      </c>
      <c r="D13" s="397">
        <v>12750</v>
      </c>
      <c r="E13" s="394">
        <v>0</v>
      </c>
      <c r="F13" s="394">
        <f>D13+E13</f>
        <v>12750</v>
      </c>
    </row>
    <row r="14" spans="1:6" ht="12.75">
      <c r="A14" s="410" t="s">
        <v>70</v>
      </c>
      <c r="B14" s="408" t="s">
        <v>71</v>
      </c>
      <c r="C14" s="66">
        <v>28000</v>
      </c>
      <c r="D14" s="66">
        <v>28000</v>
      </c>
      <c r="E14" s="192">
        <v>0</v>
      </c>
      <c r="F14" s="88">
        <f>D14+E14</f>
        <v>28000</v>
      </c>
    </row>
    <row r="15" spans="1:6" ht="12.75">
      <c r="A15" s="414" t="s">
        <v>72</v>
      </c>
      <c r="B15" s="408" t="s">
        <v>73</v>
      </c>
      <c r="C15" s="66">
        <v>7000</v>
      </c>
      <c r="D15" s="66">
        <v>7000</v>
      </c>
      <c r="E15" s="192">
        <v>0</v>
      </c>
      <c r="F15" s="88">
        <f>D15+E15</f>
        <v>7000</v>
      </c>
    </row>
    <row r="16" spans="1:6" ht="12.75">
      <c r="A16" s="410" t="s">
        <v>72</v>
      </c>
      <c r="B16" s="408" t="s">
        <v>74</v>
      </c>
      <c r="C16" s="66">
        <v>8174</v>
      </c>
      <c r="D16" s="66">
        <v>8174</v>
      </c>
      <c r="E16" s="192">
        <v>0</v>
      </c>
      <c r="F16" s="88">
        <f>D16+E16</f>
        <v>8174</v>
      </c>
    </row>
    <row r="17" spans="1:6" ht="12.75">
      <c r="A17" s="127"/>
      <c r="B17" s="110"/>
      <c r="C17" s="69"/>
      <c r="D17" s="69"/>
      <c r="E17" s="49"/>
      <c r="F17" s="91"/>
    </row>
    <row r="18" spans="1:6" ht="12.75">
      <c r="A18" s="420" t="s">
        <v>255</v>
      </c>
      <c r="B18" s="50"/>
      <c r="C18" s="104">
        <f>SUM(C13:C16)</f>
        <v>55924</v>
      </c>
      <c r="D18" s="104">
        <f>SUM(D13:D16)</f>
        <v>55924</v>
      </c>
      <c r="E18" s="104">
        <f>SUM(E13:E16)</f>
        <v>0</v>
      </c>
      <c r="F18" s="104">
        <f>SUM(F13:F16)</f>
        <v>55924</v>
      </c>
    </row>
    <row r="19" spans="1:6" ht="12.75">
      <c r="A19" s="125"/>
      <c r="B19" s="114"/>
      <c r="C19" s="49"/>
      <c r="D19" s="49"/>
      <c r="E19" s="49"/>
      <c r="F19" s="91"/>
    </row>
    <row r="20" spans="1:6" ht="12.75">
      <c r="A20" s="128" t="s">
        <v>75</v>
      </c>
      <c r="B20" s="110"/>
      <c r="C20" s="52"/>
      <c r="D20" s="52"/>
      <c r="E20" s="49"/>
      <c r="F20" s="91"/>
    </row>
    <row r="21" spans="1:6" ht="12.75">
      <c r="A21" s="414">
        <v>31938</v>
      </c>
      <c r="B21" s="408" t="s">
        <v>284</v>
      </c>
      <c r="C21" s="398">
        <f>22264750/1000</f>
        <v>22264.75</v>
      </c>
      <c r="D21" s="398">
        <f>22264750/1000</f>
        <v>22264.75</v>
      </c>
      <c r="E21" s="394">
        <v>0</v>
      </c>
      <c r="F21" s="394">
        <f>D21+E21</f>
        <v>22264.75</v>
      </c>
    </row>
    <row r="22" spans="1:6" ht="12.75">
      <c r="A22" s="414" t="s">
        <v>76</v>
      </c>
      <c r="B22" s="408" t="s">
        <v>261</v>
      </c>
      <c r="C22" s="223">
        <f>50000000/1000</f>
        <v>50000</v>
      </c>
      <c r="D22" s="223">
        <v>50000</v>
      </c>
      <c r="E22" s="192">
        <v>0</v>
      </c>
      <c r="F22" s="394">
        <f>D22+E22</f>
        <v>50000</v>
      </c>
    </row>
    <row r="23" spans="1:6" ht="12.75">
      <c r="A23" s="415">
        <v>41905</v>
      </c>
      <c r="B23" s="408" t="s">
        <v>581</v>
      </c>
      <c r="C23" s="64">
        <f>67125516/1000</f>
        <v>67125.516</v>
      </c>
      <c r="D23" s="64">
        <v>67125.516</v>
      </c>
      <c r="E23" s="192">
        <v>0</v>
      </c>
      <c r="F23" s="394">
        <f>D23+E23</f>
        <v>67125.516</v>
      </c>
    </row>
    <row r="24" spans="1:6" ht="12.75">
      <c r="A24" s="415">
        <v>41911</v>
      </c>
      <c r="B24" s="408" t="s">
        <v>57</v>
      </c>
      <c r="C24" s="64">
        <f>1000000/1000</f>
        <v>1000</v>
      </c>
      <c r="D24" s="64">
        <v>1000</v>
      </c>
      <c r="E24" s="192">
        <v>0</v>
      </c>
      <c r="F24" s="394">
        <f>D24+E24</f>
        <v>1000</v>
      </c>
    </row>
    <row r="25" spans="1:6" ht="12.75">
      <c r="A25" s="415">
        <v>41917</v>
      </c>
      <c r="B25" s="472" t="s">
        <v>295</v>
      </c>
      <c r="C25" s="53">
        <f>5326770/1000</f>
        <v>5326.77</v>
      </c>
      <c r="D25" s="53">
        <v>5326.77</v>
      </c>
      <c r="E25" s="49">
        <v>0</v>
      </c>
      <c r="F25" s="394">
        <f>D25+E25</f>
        <v>5326.77</v>
      </c>
    </row>
    <row r="26" spans="1:6" ht="12.75">
      <c r="A26" s="129"/>
      <c r="B26" s="116"/>
      <c r="C26" s="53"/>
      <c r="D26" s="53"/>
      <c r="E26" s="49"/>
      <c r="F26" s="91"/>
    </row>
    <row r="27" spans="1:6" ht="12.75">
      <c r="A27" s="419" t="s">
        <v>254</v>
      </c>
      <c r="B27" s="54"/>
      <c r="C27" s="104">
        <f>SUM(C21:C26)</f>
        <v>145717.036</v>
      </c>
      <c r="D27" s="104">
        <f>SUM(D21:D26)</f>
        <v>145717.036</v>
      </c>
      <c r="E27" s="104">
        <f>SUM(E21:E26)</f>
        <v>0</v>
      </c>
      <c r="F27" s="104">
        <f>SUM(F21:F26)</f>
        <v>145717.036</v>
      </c>
    </row>
    <row r="28" spans="1:6" ht="12.75">
      <c r="A28" s="55"/>
      <c r="B28" s="55"/>
      <c r="C28" s="105"/>
      <c r="D28" s="105"/>
      <c r="E28" s="106"/>
      <c r="F28" s="106"/>
    </row>
    <row r="29" spans="1:6" ht="12.75">
      <c r="A29" s="125"/>
      <c r="B29" s="114"/>
      <c r="C29" s="107"/>
      <c r="D29" s="107"/>
      <c r="E29" s="107"/>
      <c r="F29" s="107"/>
    </row>
    <row r="30" spans="1:6" ht="12.75">
      <c r="A30" s="417" t="s">
        <v>77</v>
      </c>
      <c r="B30" s="417"/>
      <c r="C30" s="104">
        <f>'Revenue Budget Update_1 of 3'!C49+'Revenue Budget Update_2 of 3'!C33+'Revenue Budget Update_2 of 3'!C54+'Revenue Budget Update_3 of 3'!C18+'Revenue Budget Update_3 of 3'!C27</f>
        <v>11670784.012000002</v>
      </c>
      <c r="D30" s="104">
        <f>'Revenue Budget Update_1 of 3'!D49+'Revenue Budget Update_2 of 3'!D33+'Revenue Budget Update_2 of 3'!D54+'Revenue Budget Update_3 of 3'!D18+'Revenue Budget Update_3 of 3'!D27</f>
        <v>11679892.24</v>
      </c>
      <c r="E30" s="104">
        <f>'Revenue Budget Update_1 of 3'!E49+'Revenue Budget Update_2 of 3'!E33+'Revenue Budget Update_2 of 3'!E54+'Revenue Budget Update_3 of 3'!E18+'Revenue Budget Update_3 of 3'!E27</f>
        <v>12386.357</v>
      </c>
      <c r="F30" s="104">
        <f>'Revenue Budget Update_1 of 3'!F49+'Revenue Budget Update_2 of 3'!F33+'Revenue Budget Update_2 of 3'!F54+'Revenue Budget Update_3 of 3'!F18+'Revenue Budget Update_3 of 3'!F27</f>
        <v>11692278.597000001</v>
      </c>
    </row>
    <row r="31" spans="1:6" ht="12.75">
      <c r="A31" s="418"/>
      <c r="B31" s="418"/>
      <c r="C31" s="108"/>
      <c r="D31" s="108"/>
      <c r="E31" s="108"/>
      <c r="F31" s="108"/>
    </row>
    <row r="32" spans="1:6" ht="12.75">
      <c r="A32" s="417" t="s">
        <v>78</v>
      </c>
      <c r="B32" s="417"/>
      <c r="C32" s="104">
        <f>10278171254/1000</f>
        <v>10278171.254</v>
      </c>
      <c r="D32" s="104">
        <v>10278171.254</v>
      </c>
      <c r="E32" s="399">
        <v>1909.169</v>
      </c>
      <c r="F32" s="104">
        <f>+D32+E32</f>
        <v>10280080.423</v>
      </c>
    </row>
    <row r="33" spans="1:6" ht="12.75">
      <c r="A33" s="117"/>
      <c r="B33" s="117"/>
      <c r="C33" s="97"/>
      <c r="D33" s="97"/>
      <c r="E33" s="98"/>
      <c r="F33" s="98"/>
    </row>
    <row r="34" spans="1:6" ht="12.75">
      <c r="A34" s="117"/>
      <c r="B34" s="97" t="s">
        <v>257</v>
      </c>
      <c r="C34" s="97"/>
      <c r="D34" s="97"/>
      <c r="E34" s="97"/>
      <c r="F34" s="99"/>
    </row>
    <row r="35" spans="1:6" ht="12.75">
      <c r="A35" s="117"/>
      <c r="B35" s="97" t="s">
        <v>363</v>
      </c>
      <c r="C35" s="97"/>
      <c r="D35" s="97"/>
      <c r="E35" s="97"/>
      <c r="F35" s="371">
        <v>-55924</v>
      </c>
    </row>
    <row r="36" spans="1:6" ht="12.75">
      <c r="A36" s="117"/>
      <c r="B36" s="97" t="s">
        <v>364</v>
      </c>
      <c r="C36" s="97"/>
      <c r="D36" s="97"/>
      <c r="E36" s="100"/>
      <c r="F36" s="185">
        <v>-2500</v>
      </c>
    </row>
    <row r="37" spans="1:6" ht="12.75">
      <c r="A37" s="117"/>
      <c r="B37" s="97" t="s">
        <v>362</v>
      </c>
      <c r="C37" s="97"/>
      <c r="D37" s="97"/>
      <c r="E37" s="100"/>
      <c r="F37" s="185">
        <v>19177.49</v>
      </c>
    </row>
    <row r="38" spans="1:6" ht="12.75">
      <c r="A38" s="117"/>
      <c r="B38" s="346"/>
      <c r="C38" s="347"/>
      <c r="D38" s="347"/>
      <c r="E38" s="348"/>
      <c r="F38" s="349"/>
    </row>
    <row r="39" spans="1:6" ht="12.75">
      <c r="A39" s="117"/>
      <c r="B39" s="344" t="s">
        <v>436</v>
      </c>
      <c r="C39" s="347"/>
      <c r="D39" s="347"/>
      <c r="E39" s="467"/>
      <c r="F39" s="349"/>
    </row>
    <row r="40" spans="1:6" ht="12.75">
      <c r="A40" s="117"/>
      <c r="B40" s="345" t="s">
        <v>435</v>
      </c>
      <c r="C40" s="347"/>
      <c r="D40" s="347"/>
      <c r="E40" s="467"/>
      <c r="F40" s="468">
        <v>-1909.169</v>
      </c>
    </row>
    <row r="41" spans="1:6" ht="12.75">
      <c r="A41" s="117"/>
      <c r="B41" s="346" t="s">
        <v>437</v>
      </c>
      <c r="C41" s="347"/>
      <c r="D41" s="347"/>
      <c r="E41" s="467"/>
      <c r="F41" s="469">
        <f>SUM(F40:F40)</f>
        <v>-1909.169</v>
      </c>
    </row>
    <row r="42" spans="1:6" ht="12.75">
      <c r="A42" s="117"/>
      <c r="B42" s="346"/>
      <c r="C42" s="347"/>
      <c r="D42" s="347"/>
      <c r="E42" s="348"/>
      <c r="F42" s="349"/>
    </row>
    <row r="43" spans="1:6" ht="12.75">
      <c r="A43" s="117"/>
      <c r="B43" s="346"/>
      <c r="C43" s="347"/>
      <c r="D43" s="347"/>
      <c r="E43" s="348"/>
      <c r="F43" s="349"/>
    </row>
    <row r="44" spans="1:6" ht="12.75">
      <c r="A44" s="117"/>
      <c r="B44" s="97" t="s">
        <v>79</v>
      </c>
      <c r="C44" s="97"/>
      <c r="D44" s="97"/>
      <c r="E44" s="97"/>
      <c r="F44" s="371">
        <f>+F35+F36+F37+F41</f>
        <v>-41155.679</v>
      </c>
    </row>
    <row r="45" spans="1:6" ht="13.5" thickBot="1">
      <c r="A45" s="117"/>
      <c r="B45" s="117"/>
      <c r="C45" s="97"/>
      <c r="D45" s="97"/>
      <c r="E45" s="97"/>
      <c r="F45" s="185"/>
    </row>
    <row r="46" spans="1:6" ht="14.25" thickBot="1" thickTop="1">
      <c r="A46" s="182" t="s">
        <v>80</v>
      </c>
      <c r="B46" s="118"/>
      <c r="C46" s="101"/>
      <c r="D46" s="101"/>
      <c r="E46" s="101"/>
      <c r="F46" s="195">
        <f>F44+F32+F30</f>
        <v>21931203.341000002</v>
      </c>
    </row>
    <row r="47" spans="1:6" ht="13.5" thickTop="1">
      <c r="A47" s="119"/>
      <c r="B47" s="119"/>
      <c r="F47" s="102"/>
    </row>
  </sheetData>
  <sheetProtection/>
  <mergeCells count="4">
    <mergeCell ref="A1:F1"/>
    <mergeCell ref="A2:F2"/>
    <mergeCell ref="A3:F3"/>
    <mergeCell ref="A4:F4"/>
  </mergeCells>
  <printOptions horizontalCentered="1"/>
  <pageMargins left="0" right="0" top="0.75" bottom="0.5" header="0" footer="0.25"/>
  <pageSetup horizontalDpi="600" verticalDpi="600" orientation="portrait" scale="85" r:id="rId1"/>
  <headerFooter alignWithMargins="0">
    <oddFooter>&amp;C&amp;12- 6 -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10.7109375" style="0" customWidth="1"/>
    <col min="2" max="2" width="60.421875" style="0" customWidth="1"/>
    <col min="3" max="4" width="12.7109375" style="0" customWidth="1"/>
    <col min="5" max="7" width="12.7109375" style="203" customWidth="1"/>
  </cols>
  <sheetData>
    <row r="1" spans="1:7" ht="20.25">
      <c r="A1" s="875" t="s">
        <v>285</v>
      </c>
      <c r="B1" s="875"/>
      <c r="C1" s="875"/>
      <c r="D1" s="875"/>
      <c r="E1" s="875"/>
      <c r="F1" s="875"/>
      <c r="G1" s="875"/>
    </row>
    <row r="2" spans="1:7" ht="18.75">
      <c r="A2" s="876" t="s">
        <v>286</v>
      </c>
      <c r="B2" s="876"/>
      <c r="C2" s="876"/>
      <c r="D2" s="876"/>
      <c r="E2" s="876"/>
      <c r="F2" s="876"/>
      <c r="G2" s="876"/>
    </row>
    <row r="3" spans="1:7" ht="15">
      <c r="A3" s="873" t="s">
        <v>558</v>
      </c>
      <c r="B3" s="873"/>
      <c r="C3" s="873"/>
      <c r="D3" s="873"/>
      <c r="E3" s="873"/>
      <c r="F3" s="873"/>
      <c r="G3" s="873"/>
    </row>
    <row r="4" spans="1:7" ht="12.75">
      <c r="A4" s="877" t="s">
        <v>12</v>
      </c>
      <c r="B4" s="877"/>
      <c r="C4" s="877"/>
      <c r="D4" s="877"/>
      <c r="E4" s="877"/>
      <c r="F4" s="877"/>
      <c r="G4" s="877"/>
    </row>
    <row r="5" spans="1:7" ht="12.75">
      <c r="A5" s="197"/>
      <c r="B5" s="197"/>
      <c r="C5" s="197"/>
      <c r="D5" s="197"/>
      <c r="E5" s="197"/>
      <c r="F5" s="197"/>
      <c r="G5" s="197"/>
    </row>
    <row r="6" spans="1:7" ht="12.75">
      <c r="A6" s="235"/>
      <c r="B6" s="235"/>
      <c r="C6" s="235"/>
      <c r="D6" s="235"/>
      <c r="E6" s="235"/>
      <c r="F6" s="235"/>
      <c r="G6" s="236"/>
    </row>
    <row r="7" spans="1:7" ht="4.5" customHeight="1">
      <c r="A7" s="474"/>
      <c r="B7" s="474"/>
      <c r="C7" s="474"/>
      <c r="D7" s="474"/>
      <c r="E7" s="474"/>
      <c r="F7" s="474"/>
      <c r="G7" s="475"/>
    </row>
    <row r="8" spans="3:7" ht="12.75">
      <c r="C8" s="198" t="str">
        <f>+'Revenue Budget Update_1 of 3'!C7</f>
        <v>FY 2016</v>
      </c>
      <c r="D8" s="198" t="s">
        <v>361</v>
      </c>
      <c r="E8" s="60" t="s">
        <v>287</v>
      </c>
      <c r="F8" s="60" t="s">
        <v>288</v>
      </c>
      <c r="G8" s="198" t="s">
        <v>289</v>
      </c>
    </row>
    <row r="9" spans="1:7" ht="12.75">
      <c r="A9" s="39" t="s">
        <v>13</v>
      </c>
      <c r="B9" s="57"/>
      <c r="C9" s="198" t="s">
        <v>2</v>
      </c>
      <c r="D9" s="198" t="s">
        <v>305</v>
      </c>
      <c r="E9" s="60" t="s">
        <v>290</v>
      </c>
      <c r="F9" s="60" t="s">
        <v>291</v>
      </c>
      <c r="G9" s="198" t="s">
        <v>292</v>
      </c>
    </row>
    <row r="10" spans="1:7" ht="12.75">
      <c r="A10" s="39" t="s">
        <v>14</v>
      </c>
      <c r="B10" s="58" t="s">
        <v>15</v>
      </c>
      <c r="C10" s="198" t="s">
        <v>5</v>
      </c>
      <c r="D10" s="198" t="s">
        <v>306</v>
      </c>
      <c r="E10" s="60" t="s">
        <v>559</v>
      </c>
      <c r="F10" s="60" t="str">
        <f>+E10</f>
        <v>YTD - 11/19/15</v>
      </c>
      <c r="G10" s="762" t="str">
        <f>+E10</f>
        <v>YTD - 11/19/15</v>
      </c>
    </row>
    <row r="11" spans="1:7" ht="6.75" customHeight="1">
      <c r="A11" s="40"/>
      <c r="B11" s="199"/>
      <c r="C11" s="200"/>
      <c r="D11" s="200"/>
      <c r="E11" s="201"/>
      <c r="F11" s="201"/>
      <c r="G11" s="201"/>
    </row>
    <row r="12" spans="1:7" ht="12" customHeight="1">
      <c r="A12" s="39"/>
      <c r="B12" s="59"/>
      <c r="C12" s="488"/>
      <c r="D12" s="488"/>
      <c r="E12" s="33"/>
      <c r="F12" s="33"/>
      <c r="G12" s="33"/>
    </row>
    <row r="13" spans="1:6" ht="13.5" customHeight="1">
      <c r="A13" s="62" t="s">
        <v>17</v>
      </c>
      <c r="B13" s="43"/>
      <c r="C13" s="43"/>
      <c r="D13" s="43"/>
      <c r="E13" s="202"/>
      <c r="F13" s="202"/>
    </row>
    <row r="14" spans="1:6" ht="12.75">
      <c r="A14" s="63" t="s">
        <v>18</v>
      </c>
      <c r="B14" s="33"/>
      <c r="C14" s="204"/>
      <c r="D14" s="204"/>
      <c r="E14" s="35"/>
      <c r="F14" s="35"/>
    </row>
    <row r="15" spans="1:7" ht="12.75">
      <c r="A15" s="407">
        <v>29358</v>
      </c>
      <c r="B15" s="408" t="s">
        <v>310</v>
      </c>
      <c r="C15" s="392">
        <v>6670257.319</v>
      </c>
      <c r="D15" s="392">
        <v>6670257.319</v>
      </c>
      <c r="E15" s="397">
        <v>1645750.903</v>
      </c>
      <c r="F15" s="397">
        <v>1003438.677</v>
      </c>
      <c r="G15" s="206">
        <f>+E15/D15</f>
        <v>0.2467297473385524</v>
      </c>
    </row>
    <row r="16" spans="1:7" ht="12.75">
      <c r="A16" s="407">
        <v>29359</v>
      </c>
      <c r="B16" s="408" t="s">
        <v>311</v>
      </c>
      <c r="C16" s="69">
        <v>1200</v>
      </c>
      <c r="D16" s="69">
        <v>1200</v>
      </c>
      <c r="E16" s="66">
        <v>325.431</v>
      </c>
      <c r="F16" s="66">
        <v>186.018</v>
      </c>
      <c r="G16" s="206">
        <f aca="true" t="shared" si="0" ref="G16:G25">+E16/D16</f>
        <v>0.2711925</v>
      </c>
    </row>
    <row r="17" spans="1:7" ht="12.75">
      <c r="A17" s="407">
        <v>27920</v>
      </c>
      <c r="B17" s="408" t="s">
        <v>293</v>
      </c>
      <c r="C17" s="69">
        <v>8844.209</v>
      </c>
      <c r="D17" s="69">
        <v>8844.209</v>
      </c>
      <c r="E17" s="66">
        <v>862.818</v>
      </c>
      <c r="F17" s="66">
        <v>862.818</v>
      </c>
      <c r="G17" s="206">
        <f t="shared" si="0"/>
        <v>0.09755739603168581</v>
      </c>
    </row>
    <row r="18" spans="1:7" ht="12.75">
      <c r="A18" s="407">
        <v>27921</v>
      </c>
      <c r="B18" s="408" t="s">
        <v>19</v>
      </c>
      <c r="C18" s="69">
        <v>523737.567</v>
      </c>
      <c r="D18" s="69">
        <v>523737.567</v>
      </c>
      <c r="E18" s="66">
        <v>141716.945</v>
      </c>
      <c r="F18" s="66">
        <v>81071.697</v>
      </c>
      <c r="G18" s="206">
        <f t="shared" si="0"/>
        <v>0.2705877025621116</v>
      </c>
    </row>
    <row r="19" spans="1:7" ht="12.75">
      <c r="A19" s="407">
        <v>27923</v>
      </c>
      <c r="B19" s="408" t="s">
        <v>20</v>
      </c>
      <c r="C19" s="69">
        <v>176105.12</v>
      </c>
      <c r="D19" s="69">
        <v>176105.12</v>
      </c>
      <c r="E19" s="66">
        <v>16003.668</v>
      </c>
      <c r="F19" s="66">
        <v>16003.668</v>
      </c>
      <c r="G19" s="206">
        <f t="shared" si="0"/>
        <v>0.09087565426831429</v>
      </c>
    </row>
    <row r="20" spans="1:7" ht="12.75">
      <c r="A20" s="407">
        <v>27924</v>
      </c>
      <c r="B20" s="408" t="s">
        <v>21</v>
      </c>
      <c r="C20" s="69">
        <v>95294.483</v>
      </c>
      <c r="D20" s="69">
        <v>95294.483</v>
      </c>
      <c r="E20" s="66">
        <v>25594.355</v>
      </c>
      <c r="F20" s="66">
        <v>14681.375</v>
      </c>
      <c r="G20" s="206">
        <f t="shared" si="0"/>
        <v>0.2685817079253161</v>
      </c>
    </row>
    <row r="21" spans="1:7" ht="12.75">
      <c r="A21" s="407">
        <v>29253</v>
      </c>
      <c r="B21" s="408" t="s">
        <v>22</v>
      </c>
      <c r="C21" s="69">
        <v>30252.101</v>
      </c>
      <c r="D21" s="69">
        <v>30252.101</v>
      </c>
      <c r="E21" s="66">
        <v>8308.23</v>
      </c>
      <c r="F21" s="66">
        <v>4727.479</v>
      </c>
      <c r="G21" s="206">
        <f t="shared" si="0"/>
        <v>0.27463315688388057</v>
      </c>
    </row>
    <row r="22" spans="1:7" ht="12.75">
      <c r="A22" s="407">
        <v>29290</v>
      </c>
      <c r="B22" s="408" t="s">
        <v>23</v>
      </c>
      <c r="C22" s="69">
        <v>238484.177</v>
      </c>
      <c r="D22" s="69">
        <v>238484.177</v>
      </c>
      <c r="E22" s="66">
        <v>0</v>
      </c>
      <c r="F22" s="66">
        <v>0</v>
      </c>
      <c r="G22" s="206">
        <f t="shared" si="0"/>
        <v>0</v>
      </c>
    </row>
    <row r="23" spans="1:7" ht="12.75">
      <c r="A23" s="407">
        <v>29605</v>
      </c>
      <c r="B23" s="408" t="s">
        <v>24</v>
      </c>
      <c r="C23" s="69">
        <v>435476.767</v>
      </c>
      <c r="D23" s="69">
        <v>435476.767</v>
      </c>
      <c r="E23" s="66">
        <v>205171.484</v>
      </c>
      <c r="F23" s="66">
        <v>205171.484</v>
      </c>
      <c r="G23" s="206">
        <f t="shared" si="0"/>
        <v>0.47114220447034777</v>
      </c>
    </row>
    <row r="24" spans="1:7" ht="12.75">
      <c r="A24" s="407">
        <v>29606</v>
      </c>
      <c r="B24" s="408" t="s">
        <v>25</v>
      </c>
      <c r="C24" s="69">
        <v>33804.481</v>
      </c>
      <c r="D24" s="69">
        <v>33804.481</v>
      </c>
      <c r="E24" s="66">
        <v>6693.455</v>
      </c>
      <c r="F24" s="66">
        <v>6693.455</v>
      </c>
      <c r="G24" s="206">
        <f t="shared" si="0"/>
        <v>0.1980049627148543</v>
      </c>
    </row>
    <row r="25" spans="1:7" ht="12.75">
      <c r="A25" s="407">
        <v>29627</v>
      </c>
      <c r="B25" s="408" t="s">
        <v>336</v>
      </c>
      <c r="C25" s="69">
        <v>25714.499</v>
      </c>
      <c r="D25" s="69">
        <v>25714.499</v>
      </c>
      <c r="E25" s="66">
        <v>7116.133</v>
      </c>
      <c r="F25" s="66">
        <v>4038.108</v>
      </c>
      <c r="G25" s="206">
        <f t="shared" si="0"/>
        <v>0.27673621018243444</v>
      </c>
    </row>
    <row r="26" spans="1:7" ht="12.75">
      <c r="A26" s="121"/>
      <c r="B26" s="120"/>
      <c r="C26" s="64" t="s">
        <v>1</v>
      </c>
      <c r="D26" s="191"/>
      <c r="E26" s="66"/>
      <c r="F26" s="66"/>
      <c r="G26" s="229"/>
    </row>
    <row r="27" spans="1:7" ht="12.75">
      <c r="A27" s="421" t="s">
        <v>26</v>
      </c>
      <c r="B27" s="111"/>
      <c r="C27" s="104">
        <f>SUM(C15:C25)</f>
        <v>8239170.722999999</v>
      </c>
      <c r="D27" s="104">
        <f>SUM(D15:D25)</f>
        <v>8239170.722999999</v>
      </c>
      <c r="E27" s="104">
        <f>SUM(E15:E25)</f>
        <v>2057543.422</v>
      </c>
      <c r="F27" s="104">
        <f>SUM(F15:F25)</f>
        <v>1336874.779</v>
      </c>
      <c r="G27" s="229">
        <f>+E27/D27</f>
        <v>0.24972700423069025</v>
      </c>
    </row>
    <row r="28" spans="1:7" ht="12.75">
      <c r="A28" s="784" t="s">
        <v>27</v>
      </c>
      <c r="B28" s="121"/>
      <c r="C28" s="34"/>
      <c r="D28" s="34"/>
      <c r="E28" s="66"/>
      <c r="F28" s="66"/>
      <c r="G28" s="206"/>
    </row>
    <row r="29" spans="1:7" ht="12.75">
      <c r="A29" s="407">
        <v>27900</v>
      </c>
      <c r="B29" s="408" t="s">
        <v>28</v>
      </c>
      <c r="C29" s="392">
        <v>7612.46</v>
      </c>
      <c r="D29" s="392">
        <v>7612.46</v>
      </c>
      <c r="E29" s="397">
        <v>406.001</v>
      </c>
      <c r="F29" s="397">
        <v>406.001</v>
      </c>
      <c r="G29" s="206">
        <f aca="true" t="shared" si="1" ref="G29:G47">+E29/D29</f>
        <v>0.05333374493921807</v>
      </c>
    </row>
    <row r="30" spans="1:7" ht="12.75">
      <c r="A30" s="407">
        <v>27902</v>
      </c>
      <c r="B30" s="408" t="s">
        <v>388</v>
      </c>
      <c r="C30" s="69">
        <v>304473.665</v>
      </c>
      <c r="D30" s="69">
        <v>304473.665</v>
      </c>
      <c r="E30" s="66">
        <v>0</v>
      </c>
      <c r="F30" s="66">
        <v>0</v>
      </c>
      <c r="G30" s="206">
        <f t="shared" si="1"/>
        <v>0</v>
      </c>
    </row>
    <row r="31" spans="1:7" ht="12.75">
      <c r="A31" s="407">
        <v>27906</v>
      </c>
      <c r="B31" s="408" t="s">
        <v>29</v>
      </c>
      <c r="C31" s="69">
        <v>17500</v>
      </c>
      <c r="D31" s="69">
        <v>17500</v>
      </c>
      <c r="E31" s="66">
        <v>6524.489</v>
      </c>
      <c r="F31" s="66">
        <v>6363.42</v>
      </c>
      <c r="G31" s="206">
        <f t="shared" si="1"/>
        <v>0.3728279428571428</v>
      </c>
    </row>
    <row r="32" spans="1:7" ht="12.75">
      <c r="A32" s="407">
        <v>27907</v>
      </c>
      <c r="B32" s="408" t="s">
        <v>30</v>
      </c>
      <c r="C32" s="69">
        <v>76021.107</v>
      </c>
      <c r="D32" s="69">
        <v>76021.107</v>
      </c>
      <c r="E32" s="66">
        <v>20000</v>
      </c>
      <c r="F32" s="66">
        <v>0</v>
      </c>
      <c r="G32" s="206">
        <f t="shared" si="1"/>
        <v>0.2630848298486366</v>
      </c>
    </row>
    <row r="33" spans="1:7" ht="12.75">
      <c r="A33" s="407">
        <v>27914</v>
      </c>
      <c r="B33" s="408" t="s">
        <v>377</v>
      </c>
      <c r="C33" s="69">
        <v>32034.242</v>
      </c>
      <c r="D33" s="69">
        <v>32034.242</v>
      </c>
      <c r="E33" s="66">
        <v>0</v>
      </c>
      <c r="F33" s="66">
        <v>0</v>
      </c>
      <c r="G33" s="206">
        <f t="shared" si="1"/>
        <v>0</v>
      </c>
    </row>
    <row r="34" spans="1:7" ht="12.75">
      <c r="A34" s="407">
        <v>29255</v>
      </c>
      <c r="B34" s="408" t="s">
        <v>31</v>
      </c>
      <c r="C34" s="377">
        <v>524734.901</v>
      </c>
      <c r="D34" s="377">
        <v>524734.901</v>
      </c>
      <c r="E34" s="66">
        <v>0</v>
      </c>
      <c r="F34" s="66">
        <v>0</v>
      </c>
      <c r="G34" s="206">
        <f t="shared" si="1"/>
        <v>0</v>
      </c>
    </row>
    <row r="35" spans="1:7" ht="12.75">
      <c r="A35" s="407">
        <v>29260</v>
      </c>
      <c r="B35" s="408" t="s">
        <v>300</v>
      </c>
      <c r="C35" s="69">
        <v>30285.596</v>
      </c>
      <c r="D35" s="69">
        <v>30285.596</v>
      </c>
      <c r="E35" s="66">
        <v>0</v>
      </c>
      <c r="F35" s="66">
        <v>0</v>
      </c>
      <c r="G35" s="206">
        <f t="shared" si="1"/>
        <v>0</v>
      </c>
    </row>
    <row r="36" spans="1:7" ht="12.75">
      <c r="A36" s="407">
        <v>29261</v>
      </c>
      <c r="B36" s="408" t="s">
        <v>59</v>
      </c>
      <c r="C36" s="69">
        <v>19518.933</v>
      </c>
      <c r="D36" s="69">
        <v>19518.933</v>
      </c>
      <c r="E36" s="66">
        <v>0</v>
      </c>
      <c r="F36" s="66">
        <v>0</v>
      </c>
      <c r="G36" s="206">
        <f t="shared" si="1"/>
        <v>0</v>
      </c>
    </row>
    <row r="37" spans="1:7" ht="12.75">
      <c r="A37" s="407">
        <v>29262</v>
      </c>
      <c r="B37" s="408" t="s">
        <v>32</v>
      </c>
      <c r="C37" s="69">
        <v>14434.754</v>
      </c>
      <c r="D37" s="69">
        <v>14434.754</v>
      </c>
      <c r="E37" s="66">
        <v>0</v>
      </c>
      <c r="F37" s="66">
        <v>0</v>
      </c>
      <c r="G37" s="206">
        <f t="shared" si="1"/>
        <v>0</v>
      </c>
    </row>
    <row r="38" spans="1:7" ht="12.75">
      <c r="A38" s="407">
        <v>29275</v>
      </c>
      <c r="B38" s="408" t="s">
        <v>33</v>
      </c>
      <c r="C38" s="69">
        <v>7191.186</v>
      </c>
      <c r="D38" s="69">
        <v>7191.186</v>
      </c>
      <c r="E38" s="66">
        <v>0</v>
      </c>
      <c r="F38" s="66">
        <v>0</v>
      </c>
      <c r="G38" s="206">
        <f t="shared" si="1"/>
        <v>0</v>
      </c>
    </row>
    <row r="39" spans="1:7" ht="12.75">
      <c r="A39" s="407">
        <v>29292</v>
      </c>
      <c r="B39" s="408" t="s">
        <v>34</v>
      </c>
      <c r="C39" s="69">
        <v>10000</v>
      </c>
      <c r="D39" s="69">
        <v>10000</v>
      </c>
      <c r="E39" s="66">
        <v>41.068</v>
      </c>
      <c r="F39" s="66">
        <v>41.068</v>
      </c>
      <c r="G39" s="206">
        <f t="shared" si="1"/>
        <v>0.0041068</v>
      </c>
    </row>
    <row r="40" spans="1:7" ht="12.75">
      <c r="A40" s="407">
        <v>29295</v>
      </c>
      <c r="B40" s="408" t="s">
        <v>35</v>
      </c>
      <c r="C40" s="377">
        <v>135009.017</v>
      </c>
      <c r="D40" s="377">
        <v>135009.017</v>
      </c>
      <c r="E40" s="66">
        <v>0</v>
      </c>
      <c r="F40" s="66">
        <v>0</v>
      </c>
      <c r="G40" s="206">
        <f t="shared" si="1"/>
        <v>0</v>
      </c>
    </row>
    <row r="41" spans="1:7" ht="12.75">
      <c r="A41" s="407">
        <v>29356</v>
      </c>
      <c r="B41" s="408" t="s">
        <v>370</v>
      </c>
      <c r="C41" s="377">
        <v>7028.996</v>
      </c>
      <c r="D41" s="377">
        <v>7028.996</v>
      </c>
      <c r="E41" s="66">
        <v>1749.697</v>
      </c>
      <c r="F41" s="66">
        <v>1749.697</v>
      </c>
      <c r="G41" s="206">
        <f t="shared" si="1"/>
        <v>0.24892559335643383</v>
      </c>
    </row>
    <row r="42" spans="1:7" ht="12.75">
      <c r="A42" s="407">
        <v>29603</v>
      </c>
      <c r="B42" s="408" t="s">
        <v>36</v>
      </c>
      <c r="C42" s="69">
        <v>4682.434</v>
      </c>
      <c r="D42" s="69">
        <v>4682.434</v>
      </c>
      <c r="E42" s="66">
        <v>2.441</v>
      </c>
      <c r="F42" s="66">
        <v>2.441</v>
      </c>
      <c r="G42" s="206">
        <f t="shared" si="1"/>
        <v>0.0005213100707879705</v>
      </c>
    </row>
    <row r="43" spans="1:7" ht="12.75">
      <c r="A43" s="407">
        <v>29614</v>
      </c>
      <c r="B43" s="408" t="s">
        <v>37</v>
      </c>
      <c r="C43" s="69">
        <v>224946.63</v>
      </c>
      <c r="D43" s="69">
        <v>224946.63</v>
      </c>
      <c r="E43" s="66">
        <v>0</v>
      </c>
      <c r="F43" s="66">
        <v>0</v>
      </c>
      <c r="G43" s="206">
        <f t="shared" si="1"/>
        <v>0</v>
      </c>
    </row>
    <row r="44" spans="1:7" ht="12.75">
      <c r="A44" s="409">
        <v>29617</v>
      </c>
      <c r="B44" s="408" t="s">
        <v>301</v>
      </c>
      <c r="C44" s="69">
        <v>4300</v>
      </c>
      <c r="D44" s="69">
        <v>4300</v>
      </c>
      <c r="E44" s="66">
        <v>4300</v>
      </c>
      <c r="F44" s="66">
        <v>4300</v>
      </c>
      <c r="G44" s="206">
        <f t="shared" si="1"/>
        <v>1</v>
      </c>
    </row>
    <row r="45" spans="1:7" ht="12.75">
      <c r="A45" s="409" t="s">
        <v>38</v>
      </c>
      <c r="B45" s="408" t="s">
        <v>81</v>
      </c>
      <c r="C45" s="69">
        <v>15000</v>
      </c>
      <c r="D45" s="69">
        <v>15000</v>
      </c>
      <c r="E45" s="66">
        <v>0</v>
      </c>
      <c r="F45" s="66">
        <v>0</v>
      </c>
      <c r="G45" s="206">
        <f t="shared" si="1"/>
        <v>0</v>
      </c>
    </row>
    <row r="46" spans="1:7" ht="12.75">
      <c r="A46" s="409">
        <v>29624</v>
      </c>
      <c r="B46" s="408" t="s">
        <v>366</v>
      </c>
      <c r="C46" s="69">
        <v>50000</v>
      </c>
      <c r="D46" s="69">
        <v>50000</v>
      </c>
      <c r="E46" s="66">
        <v>0</v>
      </c>
      <c r="F46" s="66">
        <v>0</v>
      </c>
      <c r="G46" s="206">
        <f t="shared" si="1"/>
        <v>0</v>
      </c>
    </row>
    <row r="47" spans="1:7" ht="12.75">
      <c r="A47" s="409">
        <v>30400</v>
      </c>
      <c r="B47" s="408" t="s">
        <v>312</v>
      </c>
      <c r="C47" s="69">
        <v>334.801</v>
      </c>
      <c r="D47" s="69">
        <v>334.801</v>
      </c>
      <c r="E47" s="66">
        <v>0</v>
      </c>
      <c r="F47" s="66">
        <v>0</v>
      </c>
      <c r="G47" s="206">
        <f t="shared" si="1"/>
        <v>0</v>
      </c>
    </row>
    <row r="48" spans="1:7" ht="12.75">
      <c r="A48" s="122"/>
      <c r="B48" s="110"/>
      <c r="C48" s="64"/>
      <c r="D48" s="64"/>
      <c r="E48" s="66"/>
      <c r="F48" s="66"/>
      <c r="G48" s="229"/>
    </row>
    <row r="49" spans="1:7" ht="12.75">
      <c r="A49" s="421" t="s">
        <v>39</v>
      </c>
      <c r="B49" s="180"/>
      <c r="C49" s="104">
        <f>SUM(C29:C47)</f>
        <v>1485108.722</v>
      </c>
      <c r="D49" s="104">
        <f>SUM(D29:D47)</f>
        <v>1485108.722</v>
      </c>
      <c r="E49" s="104">
        <f>SUM(E29:E47)</f>
        <v>33023.695999999996</v>
      </c>
      <c r="F49" s="104">
        <f>SUM(F29:F47)</f>
        <v>12862.627</v>
      </c>
      <c r="G49" s="229">
        <f>+E49/D49</f>
        <v>0.022236551109555733</v>
      </c>
    </row>
    <row r="50" spans="1:7" ht="12.75">
      <c r="A50" s="421" t="s">
        <v>40</v>
      </c>
      <c r="B50" s="181"/>
      <c r="C50" s="104">
        <f>C27+C49</f>
        <v>9724279.445</v>
      </c>
      <c r="D50" s="104">
        <f>D27+D49</f>
        <v>9724279.445</v>
      </c>
      <c r="E50" s="104">
        <f>E27+E49</f>
        <v>2090567.118</v>
      </c>
      <c r="F50" s="104">
        <f>F27+F49</f>
        <v>1349737.4060000002</v>
      </c>
      <c r="G50" s="209">
        <f>+E50/D50</f>
        <v>0.21498427002474937</v>
      </c>
    </row>
    <row r="51" spans="1:7" ht="12.75">
      <c r="A51" s="45"/>
      <c r="B51" s="45"/>
      <c r="C51" s="46" t="s">
        <v>1</v>
      </c>
      <c r="D51" s="46" t="s">
        <v>1</v>
      </c>
      <c r="E51" s="66"/>
      <c r="F51" s="66"/>
      <c r="G51" s="206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.75" bottom="0.75" header="0.5" footer="0.25"/>
  <pageSetup horizontalDpi="600" verticalDpi="600" orientation="portrait" scale="75" r:id="rId1"/>
  <headerFooter alignWithMargins="0">
    <oddFooter>&amp;C- &amp;12 7&amp;10 -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10.7109375" style="0" customWidth="1"/>
    <col min="2" max="2" width="44.28125" style="0" customWidth="1"/>
    <col min="3" max="4" width="12.8515625" style="0" bestFit="1" customWidth="1"/>
    <col min="5" max="6" width="12.57421875" style="203" bestFit="1" customWidth="1"/>
    <col min="7" max="7" width="12.8515625" style="203" customWidth="1"/>
  </cols>
  <sheetData>
    <row r="1" spans="1:7" ht="20.25">
      <c r="A1" s="875" t="s">
        <v>285</v>
      </c>
      <c r="B1" s="875"/>
      <c r="C1" s="875"/>
      <c r="D1" s="875"/>
      <c r="E1" s="875"/>
      <c r="F1" s="875"/>
      <c r="G1" s="875"/>
    </row>
    <row r="2" spans="1:7" ht="18.75">
      <c r="A2" s="876" t="s">
        <v>286</v>
      </c>
      <c r="B2" s="876"/>
      <c r="C2" s="876"/>
      <c r="D2" s="876"/>
      <c r="E2" s="876"/>
      <c r="F2" s="876"/>
      <c r="G2" s="876"/>
    </row>
    <row r="3" spans="1:7" ht="15">
      <c r="A3" s="873" t="str">
        <f>+'Claims_1 of 2'!A3:G3</f>
        <v>as of 11/19/2015</v>
      </c>
      <c r="B3" s="873"/>
      <c r="C3" s="873"/>
      <c r="D3" s="873"/>
      <c r="E3" s="873"/>
      <c r="F3" s="873"/>
      <c r="G3" s="873"/>
    </row>
    <row r="4" spans="1:7" ht="12.75">
      <c r="A4" s="877" t="s">
        <v>12</v>
      </c>
      <c r="B4" s="877"/>
      <c r="C4" s="877"/>
      <c r="D4" s="877"/>
      <c r="E4" s="877"/>
      <c r="F4" s="877"/>
      <c r="G4" s="877"/>
    </row>
    <row r="5" spans="1:7" ht="12.75">
      <c r="A5" s="197"/>
      <c r="B5" s="197"/>
      <c r="C5" s="197"/>
      <c r="D5" s="197"/>
      <c r="E5" s="197"/>
      <c r="F5" s="197"/>
      <c r="G5" s="197"/>
    </row>
    <row r="6" spans="1:7" ht="12.75">
      <c r="A6" s="235"/>
      <c r="B6" s="235"/>
      <c r="C6" s="235"/>
      <c r="D6" s="235"/>
      <c r="E6" s="235"/>
      <c r="F6" s="235"/>
      <c r="G6" s="236"/>
    </row>
    <row r="7" spans="1:7" ht="6" customHeight="1">
      <c r="A7" s="474"/>
      <c r="B7" s="474"/>
      <c r="C7" s="474"/>
      <c r="D7" s="474"/>
      <c r="E7" s="474"/>
      <c r="F7" s="474"/>
      <c r="G7" s="475"/>
    </row>
    <row r="8" spans="3:7" ht="12.75">
      <c r="C8" s="198" t="str">
        <f>+'Claims_1 of 2'!C8</f>
        <v>FY 2016</v>
      </c>
      <c r="D8" s="198" t="s">
        <v>361</v>
      </c>
      <c r="E8" s="60" t="s">
        <v>287</v>
      </c>
      <c r="F8" s="60" t="s">
        <v>288</v>
      </c>
      <c r="G8" s="198" t="s">
        <v>289</v>
      </c>
    </row>
    <row r="9" spans="1:7" ht="12.75">
      <c r="A9" s="39" t="s">
        <v>13</v>
      </c>
      <c r="B9" s="57"/>
      <c r="C9" s="198" t="s">
        <v>2</v>
      </c>
      <c r="D9" s="198" t="s">
        <v>305</v>
      </c>
      <c r="E9" s="60" t="s">
        <v>290</v>
      </c>
      <c r="F9" s="60" t="s">
        <v>291</v>
      </c>
      <c r="G9" s="198" t="s">
        <v>292</v>
      </c>
    </row>
    <row r="10" spans="1:7" ht="12.75">
      <c r="A10" s="39" t="s">
        <v>14</v>
      </c>
      <c r="B10" s="58" t="s">
        <v>15</v>
      </c>
      <c r="C10" s="198" t="s">
        <v>5</v>
      </c>
      <c r="D10" s="198" t="s">
        <v>306</v>
      </c>
      <c r="E10" s="60" t="s">
        <v>559</v>
      </c>
      <c r="F10" s="60" t="s">
        <v>559</v>
      </c>
      <c r="G10" s="198" t="s">
        <v>559</v>
      </c>
    </row>
    <row r="11" spans="1:7" ht="6" customHeight="1">
      <c r="A11" s="40"/>
      <c r="B11" s="199"/>
      <c r="C11" s="200"/>
      <c r="D11" s="200"/>
      <c r="E11" s="201"/>
      <c r="F11" s="201"/>
      <c r="G11" s="201"/>
    </row>
    <row r="12" spans="1:7" ht="12.75">
      <c r="A12" s="45"/>
      <c r="B12" s="45"/>
      <c r="C12" s="46" t="s">
        <v>1</v>
      </c>
      <c r="D12" s="46" t="s">
        <v>1</v>
      </c>
      <c r="E12" s="66"/>
      <c r="F12" s="66"/>
      <c r="G12" s="206"/>
    </row>
    <row r="13" spans="1:7" ht="12.75">
      <c r="A13" s="416" t="s">
        <v>41</v>
      </c>
      <c r="B13" s="112"/>
      <c r="C13" s="48"/>
      <c r="D13" s="48"/>
      <c r="E13" s="66"/>
      <c r="F13" s="66"/>
      <c r="G13" s="206"/>
    </row>
    <row r="14" spans="1:7" ht="12.75">
      <c r="A14" s="409" t="s">
        <v>359</v>
      </c>
      <c r="B14" s="408" t="s">
        <v>360</v>
      </c>
      <c r="C14" s="393">
        <v>97000</v>
      </c>
      <c r="D14" s="393">
        <v>97000</v>
      </c>
      <c r="E14" s="397">
        <v>0</v>
      </c>
      <c r="F14" s="397">
        <v>0</v>
      </c>
      <c r="G14" s="206">
        <f aca="true" t="shared" si="0" ref="G14:G32">+E14/D14</f>
        <v>0</v>
      </c>
    </row>
    <row r="15" spans="1:7" ht="12.75">
      <c r="A15" s="409">
        <v>13022</v>
      </c>
      <c r="B15" s="408" t="s">
        <v>260</v>
      </c>
      <c r="C15" s="64">
        <v>18691.458</v>
      </c>
      <c r="D15" s="64">
        <v>18691.458</v>
      </c>
      <c r="E15" s="66">
        <v>0</v>
      </c>
      <c r="F15" s="66">
        <v>0</v>
      </c>
      <c r="G15" s="206">
        <f t="shared" si="0"/>
        <v>0</v>
      </c>
    </row>
    <row r="16" spans="1:7" ht="12.75">
      <c r="A16" s="409" t="s">
        <v>42</v>
      </c>
      <c r="B16" s="408" t="s">
        <v>304</v>
      </c>
      <c r="C16" s="64">
        <v>21038.101</v>
      </c>
      <c r="D16" s="64">
        <v>21038.101</v>
      </c>
      <c r="E16" s="66">
        <v>18.587</v>
      </c>
      <c r="F16" s="66">
        <v>18.587</v>
      </c>
      <c r="G16" s="206">
        <f t="shared" si="0"/>
        <v>0.000883492288586313</v>
      </c>
    </row>
    <row r="17" spans="1:7" ht="12.75">
      <c r="A17" s="409" t="s">
        <v>43</v>
      </c>
      <c r="B17" s="408" t="s">
        <v>60</v>
      </c>
      <c r="C17" s="64">
        <v>300476.353</v>
      </c>
      <c r="D17" s="64">
        <v>300476.353</v>
      </c>
      <c r="E17" s="66">
        <v>88.838</v>
      </c>
      <c r="F17" s="66">
        <v>88.838</v>
      </c>
      <c r="G17" s="206">
        <f t="shared" si="0"/>
        <v>0.0002956572093378676</v>
      </c>
    </row>
    <row r="18" spans="1:7" ht="12.75">
      <c r="A18" s="409" t="s">
        <v>44</v>
      </c>
      <c r="B18" s="408" t="s">
        <v>45</v>
      </c>
      <c r="C18" s="64">
        <v>14294.282</v>
      </c>
      <c r="D18" s="64">
        <v>14294.282</v>
      </c>
      <c r="E18" s="66">
        <v>0</v>
      </c>
      <c r="F18" s="66">
        <v>0</v>
      </c>
      <c r="G18" s="206">
        <f t="shared" si="0"/>
        <v>0</v>
      </c>
    </row>
    <row r="19" spans="1:7" ht="12.75">
      <c r="A19" s="409" t="s">
        <v>46</v>
      </c>
      <c r="B19" s="408" t="s">
        <v>47</v>
      </c>
      <c r="C19" s="64">
        <v>78242.518</v>
      </c>
      <c r="D19" s="64">
        <v>78242.518</v>
      </c>
      <c r="E19" s="66">
        <v>44.682</v>
      </c>
      <c r="F19" s="66">
        <v>44.682</v>
      </c>
      <c r="G19" s="206">
        <f t="shared" si="0"/>
        <v>0.0005710705782756123</v>
      </c>
    </row>
    <row r="20" spans="1:7" ht="12.75">
      <c r="A20" s="410" t="s">
        <v>61</v>
      </c>
      <c r="B20" s="408" t="s">
        <v>48</v>
      </c>
      <c r="C20" s="65">
        <v>679101.123</v>
      </c>
      <c r="D20" s="65">
        <v>679101.123</v>
      </c>
      <c r="E20" s="66">
        <v>0</v>
      </c>
      <c r="F20" s="66">
        <v>0</v>
      </c>
      <c r="G20" s="206">
        <f t="shared" si="0"/>
        <v>0</v>
      </c>
    </row>
    <row r="21" spans="1:7" ht="12.75">
      <c r="A21" s="409" t="s">
        <v>62</v>
      </c>
      <c r="B21" s="408" t="s">
        <v>49</v>
      </c>
      <c r="C21" s="393">
        <v>15000</v>
      </c>
      <c r="D21" s="393">
        <v>15000</v>
      </c>
      <c r="E21" s="66">
        <v>1320.048</v>
      </c>
      <c r="F21" s="66">
        <v>725.617</v>
      </c>
      <c r="G21" s="206">
        <f t="shared" si="0"/>
        <v>0.0880032</v>
      </c>
    </row>
    <row r="22" spans="1:7" ht="12.75">
      <c r="A22" s="409" t="s">
        <v>50</v>
      </c>
      <c r="B22" s="408" t="s">
        <v>51</v>
      </c>
      <c r="C22" s="64">
        <v>269781.558</v>
      </c>
      <c r="D22" s="64">
        <v>269781.558</v>
      </c>
      <c r="E22" s="66">
        <v>59.951</v>
      </c>
      <c r="F22" s="66">
        <v>0</v>
      </c>
      <c r="G22" s="206">
        <f t="shared" si="0"/>
        <v>0.00022222052702357067</v>
      </c>
    </row>
    <row r="23" spans="1:7" ht="12.75">
      <c r="A23" s="409" t="s">
        <v>52</v>
      </c>
      <c r="B23" s="408" t="s">
        <v>302</v>
      </c>
      <c r="C23" s="64">
        <v>5250</v>
      </c>
      <c r="D23" s="64">
        <v>5250</v>
      </c>
      <c r="E23" s="66">
        <v>1487.408</v>
      </c>
      <c r="F23" s="66">
        <v>1487.408</v>
      </c>
      <c r="G23" s="206">
        <f t="shared" si="0"/>
        <v>0.2833158095238095</v>
      </c>
    </row>
    <row r="24" spans="1:7" ht="12.75">
      <c r="A24" s="410" t="s">
        <v>63</v>
      </c>
      <c r="B24" s="408" t="s">
        <v>53</v>
      </c>
      <c r="C24" s="64">
        <v>18108.427</v>
      </c>
      <c r="D24" s="64">
        <v>18108.427</v>
      </c>
      <c r="E24" s="66">
        <v>18108.4</v>
      </c>
      <c r="F24" s="66">
        <v>18108.4</v>
      </c>
      <c r="G24" s="206">
        <f t="shared" si="0"/>
        <v>0.9999985089814815</v>
      </c>
    </row>
    <row r="25" spans="1:7" ht="12.75">
      <c r="A25" s="409" t="s">
        <v>54</v>
      </c>
      <c r="B25" s="408" t="s">
        <v>251</v>
      </c>
      <c r="C25" s="69">
        <v>108000</v>
      </c>
      <c r="D25" s="69">
        <v>108000</v>
      </c>
      <c r="E25" s="66">
        <v>0</v>
      </c>
      <c r="F25" s="66">
        <v>0</v>
      </c>
      <c r="G25" s="206">
        <f t="shared" si="0"/>
        <v>0</v>
      </c>
    </row>
    <row r="26" spans="1:7" ht="12.75">
      <c r="A26" s="409" t="s">
        <v>55</v>
      </c>
      <c r="B26" s="408" t="s">
        <v>56</v>
      </c>
      <c r="C26" s="64">
        <v>10200</v>
      </c>
      <c r="D26" s="64">
        <v>10200</v>
      </c>
      <c r="E26" s="66">
        <v>782.252</v>
      </c>
      <c r="F26" s="66">
        <v>728.18</v>
      </c>
      <c r="G26" s="206">
        <f t="shared" si="0"/>
        <v>0.0766913725490196</v>
      </c>
    </row>
    <row r="27" spans="1:7" ht="12.75">
      <c r="A27" s="409">
        <v>13936</v>
      </c>
      <c r="B27" s="408" t="s">
        <v>303</v>
      </c>
      <c r="C27" s="64">
        <v>1550</v>
      </c>
      <c r="D27" s="64">
        <v>1550</v>
      </c>
      <c r="E27" s="66">
        <v>300</v>
      </c>
      <c r="F27" s="66">
        <v>300</v>
      </c>
      <c r="G27" s="206">
        <f t="shared" si="0"/>
        <v>0.1935483870967742</v>
      </c>
    </row>
    <row r="28" spans="1:7" ht="12.75">
      <c r="A28" s="409">
        <v>13939</v>
      </c>
      <c r="B28" s="408" t="s">
        <v>246</v>
      </c>
      <c r="C28" s="64">
        <v>21011.386</v>
      </c>
      <c r="D28" s="64">
        <v>21011.386</v>
      </c>
      <c r="E28" s="66">
        <v>4667.247</v>
      </c>
      <c r="F28" s="66">
        <v>4667.247</v>
      </c>
      <c r="G28" s="206">
        <f t="shared" si="0"/>
        <v>0.22212942068647926</v>
      </c>
    </row>
    <row r="29" spans="1:7" ht="12.75">
      <c r="A29" s="409" t="s">
        <v>247</v>
      </c>
      <c r="B29" s="408" t="s">
        <v>259</v>
      </c>
      <c r="C29" s="64">
        <v>34006.181</v>
      </c>
      <c r="D29" s="64">
        <v>34006.181</v>
      </c>
      <c r="E29" s="66">
        <v>0</v>
      </c>
      <c r="F29" s="66">
        <v>0</v>
      </c>
      <c r="G29" s="206">
        <f t="shared" si="0"/>
        <v>0</v>
      </c>
    </row>
    <row r="30" spans="1:7" ht="12.75">
      <c r="A30" s="409">
        <v>13945</v>
      </c>
      <c r="B30" s="408" t="s">
        <v>337</v>
      </c>
      <c r="C30" s="49">
        <v>30000</v>
      </c>
      <c r="D30" s="49">
        <v>30000</v>
      </c>
      <c r="E30" s="66">
        <v>6814.982</v>
      </c>
      <c r="F30" s="66">
        <v>6814.982</v>
      </c>
      <c r="G30" s="206">
        <f t="shared" si="0"/>
        <v>0.22716606666666667</v>
      </c>
    </row>
    <row r="31" spans="1:7" ht="12.75">
      <c r="A31" s="411">
        <v>14711</v>
      </c>
      <c r="B31" s="470" t="s">
        <v>376</v>
      </c>
      <c r="C31" s="49">
        <v>178.616</v>
      </c>
      <c r="D31" s="49">
        <v>178.616</v>
      </c>
      <c r="E31" s="66">
        <v>178.475</v>
      </c>
      <c r="F31" s="66">
        <v>178.475</v>
      </c>
      <c r="G31" s="206">
        <f t="shared" si="0"/>
        <v>0.9992105970349799</v>
      </c>
    </row>
    <row r="32" spans="1:7" ht="12.75">
      <c r="A32" s="412">
        <v>14717</v>
      </c>
      <c r="B32" s="202" t="s">
        <v>395</v>
      </c>
      <c r="C32" s="35">
        <v>7700</v>
      </c>
      <c r="D32" s="49">
        <v>7700</v>
      </c>
      <c r="E32" s="66">
        <v>0</v>
      </c>
      <c r="F32" s="66">
        <v>0</v>
      </c>
      <c r="G32" s="206">
        <f t="shared" si="0"/>
        <v>0</v>
      </c>
    </row>
    <row r="33" spans="1:7" ht="12.75">
      <c r="A33" s="357"/>
      <c r="B33" s="113"/>
      <c r="C33" s="35"/>
      <c r="D33" s="35"/>
      <c r="E33" s="205"/>
      <c r="F33" s="205"/>
      <c r="G33" s="206"/>
    </row>
    <row r="34" spans="1:7" ht="12.75">
      <c r="A34" s="422" t="s">
        <v>253</v>
      </c>
      <c r="B34" s="44"/>
      <c r="C34" s="109">
        <f>SUM(C14:C33)</f>
        <v>1729630.0029999998</v>
      </c>
      <c r="D34" s="109">
        <f>SUM(D14:D33)</f>
        <v>1729630.0029999998</v>
      </c>
      <c r="E34" s="109">
        <f>SUM(E14:E33)</f>
        <v>33870.87</v>
      </c>
      <c r="F34" s="109">
        <f>SUM(F14:F33)</f>
        <v>33162.416</v>
      </c>
      <c r="G34" s="209">
        <f>+E34/D34</f>
        <v>0.019582725751317812</v>
      </c>
    </row>
    <row r="35" spans="1:7" ht="12.75">
      <c r="A35" s="45"/>
      <c r="B35" s="45"/>
      <c r="C35" s="302"/>
      <c r="D35" s="302"/>
      <c r="E35" s="302"/>
      <c r="F35" s="302"/>
      <c r="G35" s="303"/>
    </row>
    <row r="36" spans="1:7" ht="12.75">
      <c r="A36" s="210" t="s">
        <v>75</v>
      </c>
      <c r="B36" s="211"/>
      <c r="C36" s="52"/>
      <c r="D36" s="52"/>
      <c r="E36" s="49"/>
      <c r="F36" s="49"/>
      <c r="G36" s="207"/>
    </row>
    <row r="37" spans="1:7" ht="12.75">
      <c r="A37" s="414">
        <v>31938</v>
      </c>
      <c r="B37" s="471" t="s">
        <v>284</v>
      </c>
      <c r="C37" s="398">
        <v>22264.75</v>
      </c>
      <c r="D37" s="398">
        <v>22264.75</v>
      </c>
      <c r="E37" s="397">
        <v>9277</v>
      </c>
      <c r="F37" s="393">
        <v>9277</v>
      </c>
      <c r="G37" s="206">
        <f>+E37/D37</f>
        <v>0.416667602375953</v>
      </c>
    </row>
    <row r="38" spans="1:7" ht="12.75">
      <c r="A38" s="414" t="s">
        <v>76</v>
      </c>
      <c r="B38" s="471" t="s">
        <v>261</v>
      </c>
      <c r="C38" s="223">
        <v>50000</v>
      </c>
      <c r="D38" s="223">
        <v>50000</v>
      </c>
      <c r="E38" s="66">
        <v>24705.977</v>
      </c>
      <c r="F38" s="64">
        <v>24562.503</v>
      </c>
      <c r="G38" s="206">
        <f>+E38/D38</f>
        <v>0.49411953999999997</v>
      </c>
    </row>
    <row r="39" spans="1:7" ht="12.75">
      <c r="A39" s="415">
        <v>41905</v>
      </c>
      <c r="B39" s="471" t="s">
        <v>248</v>
      </c>
      <c r="C39" s="64">
        <v>67125.516</v>
      </c>
      <c r="D39" s="64">
        <v>67125.516</v>
      </c>
      <c r="E39" s="66">
        <v>1193.159</v>
      </c>
      <c r="F39" s="64">
        <v>1193.159</v>
      </c>
      <c r="G39" s="206">
        <f>+E39/D39</f>
        <v>0.017775043993702784</v>
      </c>
    </row>
    <row r="40" spans="1:7" ht="12.75">
      <c r="A40" s="415">
        <v>41911</v>
      </c>
      <c r="B40" s="471" t="s">
        <v>57</v>
      </c>
      <c r="C40" s="64">
        <v>1000</v>
      </c>
      <c r="D40" s="64">
        <v>1000</v>
      </c>
      <c r="E40" s="66">
        <v>18.102</v>
      </c>
      <c r="F40" s="64">
        <v>18.102</v>
      </c>
      <c r="G40" s="206">
        <f>+E40/D40</f>
        <v>0.018102</v>
      </c>
    </row>
    <row r="41" spans="1:7" ht="12.75">
      <c r="A41" s="415">
        <v>41917</v>
      </c>
      <c r="B41" s="471" t="s">
        <v>294</v>
      </c>
      <c r="C41" s="53">
        <v>5326.77</v>
      </c>
      <c r="D41" s="53">
        <v>5326.77</v>
      </c>
      <c r="E41" s="66">
        <v>0</v>
      </c>
      <c r="F41" s="64">
        <v>0</v>
      </c>
      <c r="G41" s="206">
        <f>+E41/D41</f>
        <v>0</v>
      </c>
    </row>
    <row r="42" spans="1:7" ht="12.75">
      <c r="A42" s="212"/>
      <c r="B42" s="472"/>
      <c r="C42" s="64"/>
      <c r="D42" s="64"/>
      <c r="E42" s="64"/>
      <c r="F42" s="64"/>
      <c r="G42" s="473"/>
    </row>
    <row r="43" spans="1:7" ht="12.75">
      <c r="A43" s="419" t="s">
        <v>254</v>
      </c>
      <c r="B43" s="213"/>
      <c r="C43" s="104">
        <f>SUM(C37:C42)</f>
        <v>145717.036</v>
      </c>
      <c r="D43" s="104">
        <f>SUM(D37:D42)</f>
        <v>145717.036</v>
      </c>
      <c r="E43" s="104">
        <f>SUM(E37:E42)</f>
        <v>35194.238</v>
      </c>
      <c r="F43" s="104">
        <f>SUM(F37:F42)</f>
        <v>35050.763999999996</v>
      </c>
      <c r="G43" s="214">
        <f>+E43/D43</f>
        <v>0.2415245256566981</v>
      </c>
    </row>
    <row r="44" spans="1:7" ht="12.75">
      <c r="A44" s="55"/>
      <c r="B44" s="215"/>
      <c r="C44" s="216"/>
      <c r="D44" s="216"/>
      <c r="E44" s="217"/>
      <c r="F44" s="217"/>
      <c r="G44" s="207"/>
    </row>
    <row r="45" spans="1:7" ht="12.75">
      <c r="A45" s="218"/>
      <c r="B45" s="219"/>
      <c r="C45" s="220"/>
      <c r="D45" s="220"/>
      <c r="E45" s="220"/>
      <c r="F45" s="220"/>
      <c r="G45" s="208"/>
    </row>
    <row r="46" spans="1:7" ht="12.75">
      <c r="A46" s="221" t="s">
        <v>77</v>
      </c>
      <c r="B46" s="221"/>
      <c r="C46" s="222">
        <f>+C43+C34+'Claims_1 of 2'!C50</f>
        <v>11599626.484000001</v>
      </c>
      <c r="D46" s="222">
        <f>+D43+D34+'Claims_1 of 2'!D50</f>
        <v>11599626.484000001</v>
      </c>
      <c r="E46" s="222">
        <f>+E43+E34+'Claims_1 of 2'!E50</f>
        <v>2159632.226</v>
      </c>
      <c r="F46" s="222">
        <f>+F43+F34+'Claims_1 of 2'!F50</f>
        <v>1417950.5860000001</v>
      </c>
      <c r="G46" s="214">
        <f>+E46/D46</f>
        <v>0.18618118686656837</v>
      </c>
    </row>
    <row r="47" spans="1:7" ht="12.75">
      <c r="A47" s="304"/>
      <c r="B47" s="304"/>
      <c r="C47" s="305"/>
      <c r="D47" s="305"/>
      <c r="E47" s="306"/>
      <c r="F47" s="307"/>
      <c r="G47" s="308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.75" bottom="0.75" header="0.5" footer="0.25"/>
  <pageSetup horizontalDpi="600" verticalDpi="600" orientation="portrait" scale="82" r:id="rId1"/>
  <headerFooter alignWithMargins="0">
    <oddFooter>&amp;C&amp;12- 8 -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NYC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Administrator</dc:creator>
  <cp:keywords/>
  <dc:description/>
  <cp:lastModifiedBy>Hoffman, Elizabeth</cp:lastModifiedBy>
  <cp:lastPrinted>2015-12-08T14:24:11Z</cp:lastPrinted>
  <dcterms:created xsi:type="dcterms:W3CDTF">1999-10-13T15:58:04Z</dcterms:created>
  <dcterms:modified xsi:type="dcterms:W3CDTF">2015-12-09T14:30:04Z</dcterms:modified>
  <cp:category/>
  <cp:version/>
  <cp:contentType/>
  <cp:contentStatus/>
</cp:coreProperties>
</file>